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\user_profiles\liena.jaunzeme\Desktop\SĪN\"/>
    </mc:Choice>
  </mc:AlternateContent>
  <xr:revisionPtr revIDLastSave="0" documentId="8_{F046DFE6-512C-4C95-A724-A12F55502A68}" xr6:coauthVersionLast="46" xr6:coauthVersionMax="46" xr10:uidLastSave="{00000000-0000-0000-0000-000000000000}"/>
  <bookViews>
    <workbookView xWindow="8580" yWindow="510" windowWidth="18630" windowHeight="13785"/>
  </bookViews>
  <sheets>
    <sheet name="Kartupeļi vid. agrīnie" sheetId="16" r:id="rId1"/>
    <sheet name="Kartupeļi agrīnie" sheetId="1" r:id="rId2"/>
    <sheet name="Kukurūza" sheetId="2" r:id="rId3"/>
    <sheet name="Ziemas tritikale" sheetId="9" r:id="rId4"/>
    <sheet name="Ziemas rudzi" sheetId="8" r:id="rId5"/>
    <sheet name="Ziemas miezi" sheetId="11" r:id="rId6"/>
    <sheet name="Ziemas kviesi" sheetId="7" r:id="rId7"/>
    <sheet name="Ziemas rapsis" sheetId="3" r:id="rId8"/>
    <sheet name="Vasaras kviesi" sheetId="12" r:id="rId9"/>
    <sheet name="Vasaras miezi" sheetId="13" r:id="rId10"/>
    <sheet name="Auzas" sheetId="14" r:id="rId11"/>
    <sheet name="Vasaras rapsis " sheetId="10" r:id="rId12"/>
    <sheet name="Zirņi" sheetId="6" r:id="rId13"/>
    <sheet name="Pupas" sheetId="15" r:id="rId14"/>
  </sheets>
  <definedNames>
    <definedName name="_xlnm.Print_Area" localSheetId="11">'Vasaras rapsis '!$A$6:$Q$88</definedName>
    <definedName name="_xlnm.Print_Area" localSheetId="6">'Ziemas kviesi'!$A$1:$X$47</definedName>
    <definedName name="_xlnm.Print_Area" localSheetId="7">'Ziemas rapsis'!$A$6:$R$102</definedName>
    <definedName name="_xlnm.Print_Titles" localSheetId="10">Auzas!$6:$7</definedName>
    <definedName name="_xlnm.Print_Titles" localSheetId="2">Kukurūza!$5:$8</definedName>
    <definedName name="_xlnm.Print_Titles" localSheetId="13">Pupas!$4:$5</definedName>
    <definedName name="_xlnm.Print_Titles" localSheetId="8">'Vasaras kviesi'!$5:$6</definedName>
    <definedName name="_xlnm.Print_Titles" localSheetId="9">'Vasaras miezi'!$6:$7</definedName>
    <definedName name="_xlnm.Print_Titles" localSheetId="11">'Vasaras rapsis '!$6:$7</definedName>
    <definedName name="_xlnm.Print_Titles" localSheetId="6">'Ziemas kviesi'!$6:$7</definedName>
    <definedName name="_xlnm.Print_Titles" localSheetId="5">'Ziemas miezi'!$6:$7</definedName>
    <definedName name="_xlnm.Print_Titles" localSheetId="7">'Ziemas rapsis'!$6:$7</definedName>
    <definedName name="_xlnm.Print_Titles" localSheetId="4">'Ziemas rudzi'!$6:$7</definedName>
    <definedName name="_xlnm.Print_Titles" localSheetId="3">'Ziemas tritikale'!$6:$7</definedName>
    <definedName name="_xlnm.Print_Titles" localSheetId="12">Zirņi!$7:$8</definedName>
    <definedName name="OLE_LINK9" localSheetId="1">'Kartupeļi agrīnie'!$A$255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4" i="16" l="1"/>
  <c r="W23" i="16"/>
  <c r="W22" i="16"/>
  <c r="W21" i="16"/>
  <c r="AC22" i="1"/>
  <c r="AC21" i="1"/>
  <c r="AC20" i="1"/>
  <c r="E19" i="9"/>
  <c r="X24" i="16"/>
  <c r="X23" i="16"/>
  <c r="X22" i="16"/>
  <c r="X21" i="16"/>
  <c r="V19" i="16"/>
  <c r="V18" i="16"/>
  <c r="V17" i="16"/>
  <c r="V16" i="16"/>
  <c r="V21" i="16" s="1"/>
  <c r="U24" i="16"/>
  <c r="U23" i="16"/>
  <c r="U22" i="16"/>
  <c r="U21" i="16"/>
  <c r="S24" i="16"/>
  <c r="S23" i="16"/>
  <c r="S22" i="16"/>
  <c r="S21" i="16"/>
  <c r="Q24" i="16"/>
  <c r="Q23" i="16"/>
  <c r="Q22" i="16"/>
  <c r="Q21" i="16"/>
  <c r="O24" i="16"/>
  <c r="O23" i="16"/>
  <c r="O22" i="16"/>
  <c r="O21" i="16"/>
  <c r="M24" i="16"/>
  <c r="M23" i="16"/>
  <c r="M22" i="16"/>
  <c r="M21" i="16"/>
  <c r="K24" i="16"/>
  <c r="K23" i="16"/>
  <c r="K22" i="16"/>
  <c r="K21" i="16"/>
  <c r="I24" i="16"/>
  <c r="I23" i="16"/>
  <c r="I22" i="16"/>
  <c r="I21" i="16"/>
  <c r="F24" i="16"/>
  <c r="F23" i="16"/>
  <c r="G23" i="16"/>
  <c r="F22" i="16"/>
  <c r="F21" i="16"/>
  <c r="G24" i="16" s="1"/>
  <c r="G22" i="16"/>
  <c r="C22" i="16"/>
  <c r="D22" i="16" s="1"/>
  <c r="C23" i="16"/>
  <c r="C24" i="16"/>
  <c r="C21" i="16"/>
  <c r="Y24" i="16"/>
  <c r="Y23" i="16"/>
  <c r="Y22" i="16"/>
  <c r="Y21" i="16"/>
  <c r="Y19" i="16"/>
  <c r="G19" i="16"/>
  <c r="D19" i="16"/>
  <c r="Y18" i="16"/>
  <c r="G18" i="16"/>
  <c r="D18" i="16"/>
  <c r="Y17" i="16"/>
  <c r="G17" i="16"/>
  <c r="D17" i="16"/>
  <c r="Y16" i="16"/>
  <c r="V14" i="16"/>
  <c r="V24" i="16" s="1"/>
  <c r="V13" i="16"/>
  <c r="V23" i="16" s="1"/>
  <c r="V12" i="16"/>
  <c r="V11" i="16"/>
  <c r="Y13" i="16"/>
  <c r="Y14" i="16"/>
  <c r="G14" i="16"/>
  <c r="G13" i="16"/>
  <c r="G12" i="16"/>
  <c r="D14" i="16"/>
  <c r="D13" i="16"/>
  <c r="D12" i="16"/>
  <c r="AE22" i="1"/>
  <c r="AE21" i="1"/>
  <c r="AE20" i="1"/>
  <c r="AB22" i="1"/>
  <c r="AB21" i="1"/>
  <c r="AB20" i="1"/>
  <c r="AA22" i="1"/>
  <c r="AA21" i="1"/>
  <c r="AA20" i="1"/>
  <c r="Y22" i="1"/>
  <c r="Y21" i="1"/>
  <c r="Y20" i="1"/>
  <c r="W22" i="1"/>
  <c r="W21" i="1"/>
  <c r="W20" i="1"/>
  <c r="U22" i="1"/>
  <c r="U21" i="1"/>
  <c r="U20" i="1"/>
  <c r="S22" i="1"/>
  <c r="S21" i="1"/>
  <c r="S20" i="1"/>
  <c r="Q22" i="1"/>
  <c r="Q21" i="1"/>
  <c r="Q20" i="1"/>
  <c r="L22" i="1"/>
  <c r="L21" i="1"/>
  <c r="L20" i="1"/>
  <c r="O21" i="1" s="1"/>
  <c r="K22" i="1"/>
  <c r="M22" i="1"/>
  <c r="K21" i="1"/>
  <c r="M21" i="1"/>
  <c r="K20" i="1"/>
  <c r="H21" i="1"/>
  <c r="G21" i="1"/>
  <c r="G22" i="1"/>
  <c r="H22" i="1"/>
  <c r="H20" i="1"/>
  <c r="G20" i="1"/>
  <c r="D21" i="1"/>
  <c r="E21" i="1" s="1"/>
  <c r="D22" i="1"/>
  <c r="E22" i="1" s="1"/>
  <c r="D20" i="1"/>
  <c r="C21" i="1"/>
  <c r="C22" i="1"/>
  <c r="C20" i="1"/>
  <c r="AF22" i="1"/>
  <c r="AF21" i="1"/>
  <c r="AF20" i="1"/>
  <c r="Y12" i="16"/>
  <c r="Y11" i="16"/>
  <c r="AD18" i="1"/>
  <c r="AD17" i="1"/>
  <c r="AD16" i="1"/>
  <c r="O18" i="1"/>
  <c r="O17" i="1"/>
  <c r="M18" i="1"/>
  <c r="M17" i="1"/>
  <c r="I18" i="1"/>
  <c r="I17" i="1"/>
  <c r="E18" i="1"/>
  <c r="E17" i="1"/>
  <c r="AD14" i="1"/>
  <c r="AD13" i="1"/>
  <c r="AD21" i="1"/>
  <c r="AD12" i="1"/>
  <c r="O14" i="1"/>
  <c r="O13" i="1"/>
  <c r="M14" i="1"/>
  <c r="M13" i="1"/>
  <c r="I14" i="1"/>
  <c r="I13" i="1"/>
  <c r="E14" i="1"/>
  <c r="E13" i="1"/>
  <c r="S20" i="14"/>
  <c r="S21" i="14"/>
  <c r="S22" i="14"/>
  <c r="S19" i="14"/>
  <c r="S15" i="14"/>
  <c r="S16" i="14"/>
  <c r="S17" i="14"/>
  <c r="S14" i="14"/>
  <c r="S10" i="14"/>
  <c r="S11" i="14"/>
  <c r="S12" i="14"/>
  <c r="S9" i="14"/>
  <c r="Q69" i="13"/>
  <c r="Q30" i="13"/>
  <c r="E33" i="12"/>
  <c r="W33" i="12" s="1"/>
  <c r="E34" i="12"/>
  <c r="W34" i="12"/>
  <c r="E35" i="12"/>
  <c r="W35" i="12" s="1"/>
  <c r="E36" i="12"/>
  <c r="W36" i="12"/>
  <c r="E37" i="12"/>
  <c r="W37" i="12" s="1"/>
  <c r="E38" i="12"/>
  <c r="W38" i="12"/>
  <c r="E32" i="12"/>
  <c r="W32" i="12" s="1"/>
  <c r="E25" i="12"/>
  <c r="W25" i="12" s="1"/>
  <c r="E26" i="12"/>
  <c r="W26" i="12" s="1"/>
  <c r="E27" i="12"/>
  <c r="W27" i="12"/>
  <c r="E28" i="12"/>
  <c r="W28" i="12" s="1"/>
  <c r="E29" i="12"/>
  <c r="W29" i="12"/>
  <c r="E30" i="12"/>
  <c r="W30" i="12" s="1"/>
  <c r="E24" i="12"/>
  <c r="W24" i="12"/>
  <c r="E17" i="12"/>
  <c r="W17" i="12" s="1"/>
  <c r="E18" i="12"/>
  <c r="W18" i="12" s="1"/>
  <c r="E19" i="12"/>
  <c r="W19" i="12" s="1"/>
  <c r="E20" i="12"/>
  <c r="W20" i="12"/>
  <c r="E21" i="12"/>
  <c r="W21" i="12" s="1"/>
  <c r="E22" i="12"/>
  <c r="W22" i="12"/>
  <c r="E16" i="12"/>
  <c r="W16" i="12" s="1"/>
  <c r="E10" i="12"/>
  <c r="W10" i="12"/>
  <c r="E11" i="12"/>
  <c r="W11" i="12" s="1"/>
  <c r="E12" i="12"/>
  <c r="W12" i="12" s="1"/>
  <c r="E13" i="12"/>
  <c r="W13" i="12" s="1"/>
  <c r="E14" i="12"/>
  <c r="W14" i="12"/>
  <c r="E9" i="12"/>
  <c r="W9" i="12" s="1"/>
  <c r="E8" i="12"/>
  <c r="W8" i="12"/>
  <c r="X55" i="7"/>
  <c r="X32" i="7"/>
  <c r="X36" i="7"/>
  <c r="X29" i="7"/>
  <c r="X17" i="7"/>
  <c r="X25" i="7"/>
  <c r="T11" i="8"/>
  <c r="T16" i="9"/>
  <c r="T13" i="9"/>
  <c r="E69" i="13"/>
  <c r="E68" i="13"/>
  <c r="Q68" i="13"/>
  <c r="E67" i="13"/>
  <c r="Q67" i="13" s="1"/>
  <c r="E66" i="13"/>
  <c r="Q66" i="13" s="1"/>
  <c r="E65" i="13"/>
  <c r="Q65" i="13" s="1"/>
  <c r="E64" i="13"/>
  <c r="Q64" i="13"/>
  <c r="E63" i="13"/>
  <c r="Q63" i="13" s="1"/>
  <c r="E62" i="13"/>
  <c r="Q62" i="13"/>
  <c r="E61" i="13"/>
  <c r="Q61" i="13" s="1"/>
  <c r="E60" i="13"/>
  <c r="Q60" i="13"/>
  <c r="E58" i="13"/>
  <c r="Q58" i="13"/>
  <c r="E57" i="13"/>
  <c r="Q57" i="13"/>
  <c r="E56" i="13"/>
  <c r="Q56" i="13" s="1"/>
  <c r="E55" i="13"/>
  <c r="Q55" i="13" s="1"/>
  <c r="E54" i="13"/>
  <c r="Q54" i="13"/>
  <c r="E53" i="13"/>
  <c r="Q53" i="13" s="1"/>
  <c r="E52" i="13"/>
  <c r="Q52" i="13" s="1"/>
  <c r="E51" i="13"/>
  <c r="Q51" i="13" s="1"/>
  <c r="E50" i="13"/>
  <c r="Q50" i="13"/>
  <c r="E49" i="13"/>
  <c r="Q49" i="13" s="1"/>
  <c r="E47" i="13"/>
  <c r="Q47" i="13"/>
  <c r="E46" i="13"/>
  <c r="Q46" i="13" s="1"/>
  <c r="E45" i="13"/>
  <c r="Q45" i="13"/>
  <c r="E44" i="13"/>
  <c r="Q44" i="13" s="1"/>
  <c r="E43" i="13"/>
  <c r="Q43" i="13" s="1"/>
  <c r="E42" i="13"/>
  <c r="Q42" i="13"/>
  <c r="E41" i="13"/>
  <c r="Q41" i="13"/>
  <c r="E40" i="13"/>
  <c r="Q40" i="13"/>
  <c r="E39" i="13"/>
  <c r="Q39" i="13"/>
  <c r="E38" i="13"/>
  <c r="Q38" i="13"/>
  <c r="E36" i="13"/>
  <c r="Q36" i="13"/>
  <c r="E35" i="13"/>
  <c r="Q35" i="13"/>
  <c r="E34" i="13"/>
  <c r="Q34" i="13"/>
  <c r="E33" i="13"/>
  <c r="Q33" i="13"/>
  <c r="E32" i="13"/>
  <c r="Q32" i="13"/>
  <c r="E31" i="13"/>
  <c r="Q31" i="13"/>
  <c r="E30" i="13"/>
  <c r="E29" i="13"/>
  <c r="Q29" i="13" s="1"/>
  <c r="E28" i="13"/>
  <c r="Q28" i="13" s="1"/>
  <c r="E27" i="13"/>
  <c r="Q27" i="13"/>
  <c r="E23" i="13"/>
  <c r="Q23" i="13" s="1"/>
  <c r="E22" i="13"/>
  <c r="Q22" i="13"/>
  <c r="E19" i="13"/>
  <c r="Q19" i="13" s="1"/>
  <c r="E18" i="13"/>
  <c r="Q18" i="13"/>
  <c r="E15" i="13"/>
  <c r="Q15" i="13" s="1"/>
  <c r="E14" i="13"/>
  <c r="Q14" i="13"/>
  <c r="E11" i="13"/>
  <c r="Q11" i="13" s="1"/>
  <c r="E10" i="13"/>
  <c r="Q10" i="13"/>
  <c r="E18" i="9"/>
  <c r="T18" i="9" s="1"/>
  <c r="E16" i="9"/>
  <c r="E15" i="9"/>
  <c r="T15" i="9"/>
  <c r="E13" i="9"/>
  <c r="E12" i="9"/>
  <c r="T12" i="9"/>
  <c r="E10" i="9"/>
  <c r="T10" i="9" s="1"/>
  <c r="E9" i="9"/>
  <c r="T9" i="9" s="1"/>
  <c r="E23" i="8"/>
  <c r="E22" i="8"/>
  <c r="T22" i="8" s="1"/>
  <c r="E21" i="8"/>
  <c r="E19" i="8"/>
  <c r="T19" i="8"/>
  <c r="E18" i="8"/>
  <c r="T18" i="8"/>
  <c r="E17" i="8"/>
  <c r="T17" i="8"/>
  <c r="E15" i="8"/>
  <c r="T15" i="8"/>
  <c r="E14" i="8"/>
  <c r="T14" i="8" s="1"/>
  <c r="E13" i="8"/>
  <c r="T13" i="8" s="1"/>
  <c r="E11" i="8"/>
  <c r="E10" i="8"/>
  <c r="T10" i="8"/>
  <c r="E9" i="8"/>
  <c r="T9" i="8" s="1"/>
  <c r="E16" i="11"/>
  <c r="R16" i="11" s="1"/>
  <c r="E10" i="11"/>
  <c r="R10" i="11" s="1"/>
  <c r="E15" i="11"/>
  <c r="E13" i="11"/>
  <c r="R13" i="11"/>
  <c r="E12" i="11"/>
  <c r="R12" i="11" s="1"/>
  <c r="E9" i="11"/>
  <c r="R9" i="11"/>
  <c r="E87" i="7"/>
  <c r="E86" i="7"/>
  <c r="E85" i="7"/>
  <c r="E84" i="7"/>
  <c r="X84" i="7" s="1"/>
  <c r="E83" i="7"/>
  <c r="E82" i="7"/>
  <c r="E81" i="7"/>
  <c r="E80" i="7"/>
  <c r="X80" i="7" s="1"/>
  <c r="E79" i="7"/>
  <c r="E78" i="7"/>
  <c r="E77" i="7"/>
  <c r="X77" i="7" s="1"/>
  <c r="E76" i="7"/>
  <c r="E75" i="7"/>
  <c r="E74" i="7"/>
  <c r="X74" i="7"/>
  <c r="E73" i="7"/>
  <c r="X73" i="7" s="1"/>
  <c r="E72" i="7"/>
  <c r="E71" i="7"/>
  <c r="E70" i="7"/>
  <c r="X70" i="7" s="1"/>
  <c r="E69" i="7"/>
  <c r="X69" i="7" s="1"/>
  <c r="E67" i="7"/>
  <c r="X67" i="7"/>
  <c r="E66" i="7"/>
  <c r="X66" i="7" s="1"/>
  <c r="E65" i="7"/>
  <c r="X65" i="7" s="1"/>
  <c r="E64" i="7"/>
  <c r="X64" i="7" s="1"/>
  <c r="E63" i="7"/>
  <c r="X63" i="7" s="1"/>
  <c r="E62" i="7"/>
  <c r="X62" i="7" s="1"/>
  <c r="E61" i="7"/>
  <c r="X61" i="7"/>
  <c r="E60" i="7"/>
  <c r="X60" i="7" s="1"/>
  <c r="E59" i="7"/>
  <c r="X59" i="7"/>
  <c r="E58" i="7"/>
  <c r="X58" i="7" s="1"/>
  <c r="E57" i="7"/>
  <c r="X57" i="7"/>
  <c r="E56" i="7"/>
  <c r="X56" i="7" s="1"/>
  <c r="E55" i="7"/>
  <c r="E54" i="7"/>
  <c r="X54" i="7"/>
  <c r="E53" i="7"/>
  <c r="X53" i="7" s="1"/>
  <c r="E52" i="7"/>
  <c r="X52" i="7"/>
  <c r="E51" i="7"/>
  <c r="X51" i="7" s="1"/>
  <c r="E50" i="7"/>
  <c r="X50" i="7"/>
  <c r="E49" i="7"/>
  <c r="E47" i="7"/>
  <c r="X47" i="7" s="1"/>
  <c r="E46" i="7"/>
  <c r="X46" i="7" s="1"/>
  <c r="E45" i="7"/>
  <c r="X45" i="7"/>
  <c r="E44" i="7"/>
  <c r="X44" i="7" s="1"/>
  <c r="E43" i="7"/>
  <c r="X43" i="7"/>
  <c r="E42" i="7"/>
  <c r="X42" i="7" s="1"/>
  <c r="E41" i="7"/>
  <c r="X41" i="7"/>
  <c r="E40" i="7"/>
  <c r="X40" i="7" s="1"/>
  <c r="E39" i="7"/>
  <c r="X39" i="7" s="1"/>
  <c r="E38" i="7"/>
  <c r="X38" i="7"/>
  <c r="E37" i="7"/>
  <c r="X37" i="7" s="1"/>
  <c r="E36" i="7"/>
  <c r="E35" i="7"/>
  <c r="X35" i="7"/>
  <c r="E34" i="7"/>
  <c r="X34" i="7"/>
  <c r="E33" i="7"/>
  <c r="X33" i="7"/>
  <c r="E32" i="7"/>
  <c r="E31" i="7"/>
  <c r="X31" i="7"/>
  <c r="E30" i="7"/>
  <c r="X30" i="7" s="1"/>
  <c r="E29" i="7"/>
  <c r="E27" i="7"/>
  <c r="X27" i="7"/>
  <c r="E26" i="7"/>
  <c r="X26" i="7"/>
  <c r="E25" i="7"/>
  <c r="E24" i="7"/>
  <c r="X24" i="7" s="1"/>
  <c r="E23" i="7"/>
  <c r="X23" i="7" s="1"/>
  <c r="E22" i="7"/>
  <c r="X22" i="7" s="1"/>
  <c r="E21" i="7"/>
  <c r="X21" i="7" s="1"/>
  <c r="E20" i="7"/>
  <c r="X20" i="7" s="1"/>
  <c r="E19" i="7"/>
  <c r="X19" i="7"/>
  <c r="E18" i="7"/>
  <c r="X18" i="7" s="1"/>
  <c r="E17" i="7"/>
  <c r="E16" i="7"/>
  <c r="X16" i="7"/>
  <c r="E15" i="7"/>
  <c r="X15" i="7" s="1"/>
  <c r="E14" i="7"/>
  <c r="X14" i="7"/>
  <c r="E13" i="7"/>
  <c r="X13" i="7" s="1"/>
  <c r="E12" i="7"/>
  <c r="X12" i="7"/>
  <c r="E11" i="7"/>
  <c r="X11" i="7"/>
  <c r="E10" i="7"/>
  <c r="X10" i="7"/>
  <c r="E9" i="7"/>
  <c r="X9" i="7"/>
  <c r="C79" i="3"/>
  <c r="D19" i="6"/>
  <c r="D18" i="6"/>
  <c r="Q26" i="2"/>
  <c r="Q25" i="2"/>
  <c r="Q24" i="2"/>
  <c r="Q23" i="2"/>
  <c r="P26" i="2"/>
  <c r="P25" i="2"/>
  <c r="P24" i="2"/>
  <c r="P23" i="2"/>
  <c r="O26" i="2"/>
  <c r="O25" i="2"/>
  <c r="O24" i="2"/>
  <c r="O23" i="2"/>
  <c r="M26" i="2"/>
  <c r="M25" i="2"/>
  <c r="M24" i="2"/>
  <c r="M23" i="2"/>
  <c r="K26" i="2"/>
  <c r="K25" i="2"/>
  <c r="K24" i="2"/>
  <c r="K23" i="2"/>
  <c r="I26" i="2"/>
  <c r="I25" i="2"/>
  <c r="I24" i="2"/>
  <c r="I23" i="2"/>
  <c r="G26" i="2"/>
  <c r="G25" i="2"/>
  <c r="G24" i="2"/>
  <c r="G23" i="2"/>
  <c r="N26" i="2"/>
  <c r="D26" i="2" s="1"/>
  <c r="N25" i="2"/>
  <c r="N24" i="2"/>
  <c r="D24" i="2" s="1"/>
  <c r="N23" i="2"/>
  <c r="D23" i="2"/>
  <c r="C24" i="2"/>
  <c r="C25" i="2"/>
  <c r="C26" i="2"/>
  <c r="C23" i="2"/>
  <c r="M20" i="2"/>
  <c r="M19" i="2"/>
  <c r="M18" i="2"/>
  <c r="M17" i="2"/>
  <c r="D20" i="2"/>
  <c r="E20" i="2"/>
  <c r="D19" i="2"/>
  <c r="E19" i="2" s="1"/>
  <c r="D18" i="2"/>
  <c r="D17" i="2"/>
  <c r="E18" i="2" s="1"/>
  <c r="M12" i="2"/>
  <c r="M13" i="2"/>
  <c r="M14" i="2"/>
  <c r="M11" i="2"/>
  <c r="E13" i="2"/>
  <c r="D12" i="2"/>
  <c r="E12" i="2"/>
  <c r="D13" i="2"/>
  <c r="D14" i="2"/>
  <c r="E14" i="2" s="1"/>
  <c r="D11" i="2"/>
  <c r="D16" i="15"/>
  <c r="D15" i="15"/>
  <c r="J16" i="15"/>
  <c r="J15" i="15"/>
  <c r="I16" i="15"/>
  <c r="I15" i="15"/>
  <c r="H16" i="15"/>
  <c r="H15" i="15"/>
  <c r="F16" i="15"/>
  <c r="F15" i="15"/>
  <c r="C16" i="15"/>
  <c r="C15" i="15"/>
  <c r="K16" i="15"/>
  <c r="K15" i="15"/>
  <c r="L19" i="6"/>
  <c r="L18" i="6"/>
  <c r="K19" i="6"/>
  <c r="K18" i="6"/>
  <c r="J19" i="6"/>
  <c r="J18" i="6"/>
  <c r="I19" i="6"/>
  <c r="I18" i="6"/>
  <c r="H19" i="6"/>
  <c r="H18" i="6"/>
  <c r="F19" i="6"/>
  <c r="F18" i="6"/>
  <c r="C19" i="6"/>
  <c r="C18" i="6"/>
  <c r="N19" i="6"/>
  <c r="N18" i="6"/>
  <c r="N14" i="6"/>
  <c r="N15" i="6"/>
  <c r="N11" i="6"/>
  <c r="N10" i="6"/>
  <c r="K12" i="15"/>
  <c r="K11" i="15"/>
  <c r="K8" i="15"/>
  <c r="K7" i="15"/>
  <c r="Q22" i="14"/>
  <c r="Q21" i="14"/>
  <c r="Q20" i="14"/>
  <c r="Q19" i="14"/>
  <c r="O22" i="14"/>
  <c r="O21" i="14"/>
  <c r="O20" i="14"/>
  <c r="O19" i="14"/>
  <c r="M22" i="14"/>
  <c r="M21" i="14"/>
  <c r="M20" i="14"/>
  <c r="M19" i="14"/>
  <c r="K22" i="14"/>
  <c r="K21" i="14"/>
  <c r="K20" i="14"/>
  <c r="K19" i="14"/>
  <c r="I22" i="14"/>
  <c r="I21" i="14"/>
  <c r="I20" i="14"/>
  <c r="I19" i="14"/>
  <c r="H22" i="14"/>
  <c r="H21" i="14"/>
  <c r="H20" i="14"/>
  <c r="H19" i="14"/>
  <c r="G19" i="14"/>
  <c r="G22" i="14"/>
  <c r="G21" i="14"/>
  <c r="G20" i="14"/>
  <c r="F22" i="14"/>
  <c r="F21" i="14"/>
  <c r="F20" i="14"/>
  <c r="F19" i="14"/>
  <c r="C20" i="14"/>
  <c r="D20" i="14"/>
  <c r="C21" i="14"/>
  <c r="D21" i="14" s="1"/>
  <c r="C22" i="14"/>
  <c r="D22" i="14" s="1"/>
  <c r="C19" i="14"/>
  <c r="D17" i="14"/>
  <c r="O69" i="13"/>
  <c r="O68" i="13"/>
  <c r="O67" i="13"/>
  <c r="O66" i="13"/>
  <c r="O65" i="13"/>
  <c r="O64" i="13"/>
  <c r="O63" i="13"/>
  <c r="O62" i="13"/>
  <c r="O61" i="13"/>
  <c r="O60" i="13"/>
  <c r="M69" i="13"/>
  <c r="M68" i="13"/>
  <c r="M67" i="13"/>
  <c r="M66" i="13"/>
  <c r="M65" i="13"/>
  <c r="M64" i="13"/>
  <c r="M63" i="13"/>
  <c r="M62" i="13"/>
  <c r="M61" i="13"/>
  <c r="M60" i="13"/>
  <c r="K69" i="13"/>
  <c r="K68" i="13"/>
  <c r="K67" i="13"/>
  <c r="K66" i="13"/>
  <c r="K65" i="13"/>
  <c r="K64" i="13"/>
  <c r="K63" i="13"/>
  <c r="K62" i="13"/>
  <c r="K61" i="13"/>
  <c r="K60" i="13"/>
  <c r="I69" i="13"/>
  <c r="I68" i="13"/>
  <c r="I67" i="13"/>
  <c r="I66" i="13"/>
  <c r="I65" i="13"/>
  <c r="I64" i="13"/>
  <c r="I63" i="13"/>
  <c r="I62" i="13"/>
  <c r="I61" i="13"/>
  <c r="I60" i="13"/>
  <c r="H60" i="13"/>
  <c r="H69" i="13"/>
  <c r="H68" i="13"/>
  <c r="H67" i="13"/>
  <c r="H66" i="13"/>
  <c r="H65" i="13"/>
  <c r="H64" i="13"/>
  <c r="H63" i="13"/>
  <c r="H62" i="13"/>
  <c r="H61" i="13"/>
  <c r="G60" i="13"/>
  <c r="G69" i="13"/>
  <c r="G68" i="13"/>
  <c r="G67" i="13"/>
  <c r="G66" i="13"/>
  <c r="G65" i="13"/>
  <c r="G64" i="13"/>
  <c r="G63" i="13"/>
  <c r="G62" i="13"/>
  <c r="G61" i="13"/>
  <c r="F69" i="13"/>
  <c r="F68" i="13"/>
  <c r="F67" i="13"/>
  <c r="F66" i="13"/>
  <c r="F65" i="13"/>
  <c r="F64" i="13"/>
  <c r="F63" i="13"/>
  <c r="F62" i="13"/>
  <c r="F61" i="13"/>
  <c r="F60" i="13"/>
  <c r="C61" i="13"/>
  <c r="C62" i="13"/>
  <c r="C63" i="13"/>
  <c r="D63" i="13" s="1"/>
  <c r="C64" i="13"/>
  <c r="C65" i="13"/>
  <c r="D65" i="13"/>
  <c r="C66" i="13"/>
  <c r="D66" i="13" s="1"/>
  <c r="C67" i="13"/>
  <c r="D67" i="13"/>
  <c r="C68" i="13"/>
  <c r="C69" i="13"/>
  <c r="D69" i="13" s="1"/>
  <c r="C60" i="13"/>
  <c r="O23" i="13"/>
  <c r="O22" i="13"/>
  <c r="M23" i="13"/>
  <c r="M22" i="13"/>
  <c r="K23" i="13"/>
  <c r="K22" i="13"/>
  <c r="I23" i="13"/>
  <c r="I22" i="13"/>
  <c r="H23" i="13"/>
  <c r="H22" i="13"/>
  <c r="G23" i="13"/>
  <c r="G22" i="13"/>
  <c r="F23" i="13"/>
  <c r="C23" i="13"/>
  <c r="D23" i="13"/>
  <c r="C22" i="13"/>
  <c r="D30" i="13"/>
  <c r="D28" i="13"/>
  <c r="D50" i="13"/>
  <c r="F18" i="13"/>
  <c r="F22" i="13"/>
  <c r="D19" i="13"/>
  <c r="D39" i="13"/>
  <c r="D15" i="13"/>
  <c r="U38" i="12"/>
  <c r="S38" i="12"/>
  <c r="Q38" i="12"/>
  <c r="O38" i="12"/>
  <c r="M38" i="12"/>
  <c r="K38" i="12"/>
  <c r="I38" i="12"/>
  <c r="H38" i="12"/>
  <c r="G38" i="12"/>
  <c r="F38" i="12"/>
  <c r="C38" i="12"/>
  <c r="D38" i="12" s="1"/>
  <c r="U37" i="12"/>
  <c r="S37" i="12"/>
  <c r="Q37" i="12"/>
  <c r="O37" i="12"/>
  <c r="M37" i="12"/>
  <c r="K37" i="12"/>
  <c r="I37" i="12"/>
  <c r="H37" i="12"/>
  <c r="G37" i="12"/>
  <c r="F37" i="12"/>
  <c r="C37" i="12"/>
  <c r="U36" i="12"/>
  <c r="S36" i="12"/>
  <c r="Q36" i="12"/>
  <c r="O36" i="12"/>
  <c r="M36" i="12"/>
  <c r="K36" i="12"/>
  <c r="I36" i="12"/>
  <c r="H36" i="12"/>
  <c r="G36" i="12"/>
  <c r="F36" i="12"/>
  <c r="C36" i="12"/>
  <c r="D36" i="12"/>
  <c r="U35" i="12"/>
  <c r="S35" i="12"/>
  <c r="Q35" i="12"/>
  <c r="O35" i="12"/>
  <c r="M35" i="12"/>
  <c r="K35" i="12"/>
  <c r="I35" i="12"/>
  <c r="H35" i="12"/>
  <c r="G35" i="12"/>
  <c r="F35" i="12"/>
  <c r="C35" i="12"/>
  <c r="U34" i="12"/>
  <c r="S34" i="12"/>
  <c r="Q34" i="12"/>
  <c r="O34" i="12"/>
  <c r="M34" i="12"/>
  <c r="K34" i="12"/>
  <c r="I34" i="12"/>
  <c r="H34" i="12"/>
  <c r="G34" i="12"/>
  <c r="F34" i="12"/>
  <c r="C34" i="12"/>
  <c r="U33" i="12"/>
  <c r="S33" i="12"/>
  <c r="Q33" i="12"/>
  <c r="O33" i="12"/>
  <c r="M33" i="12"/>
  <c r="K33" i="12"/>
  <c r="I33" i="12"/>
  <c r="H33" i="12"/>
  <c r="G33" i="12"/>
  <c r="F33" i="12"/>
  <c r="C33" i="12"/>
  <c r="H32" i="12"/>
  <c r="C32" i="12"/>
  <c r="F32" i="12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J106" i="3"/>
  <c r="J107" i="3"/>
  <c r="K107" i="3" s="1"/>
  <c r="J108" i="3"/>
  <c r="K108" i="3" s="1"/>
  <c r="J109" i="3"/>
  <c r="J110" i="3"/>
  <c r="J111" i="3"/>
  <c r="K111" i="3"/>
  <c r="J112" i="3"/>
  <c r="J113" i="3"/>
  <c r="J114" i="3"/>
  <c r="J115" i="3"/>
  <c r="K115" i="3" s="1"/>
  <c r="J116" i="3"/>
  <c r="J117" i="3"/>
  <c r="J118" i="3"/>
  <c r="J119" i="3"/>
  <c r="K119" i="3" s="1"/>
  <c r="J120" i="3"/>
  <c r="J121" i="3"/>
  <c r="J122" i="3"/>
  <c r="J123" i="3"/>
  <c r="K123" i="3" s="1"/>
  <c r="J124" i="3"/>
  <c r="K124" i="3" s="1"/>
  <c r="J125" i="3"/>
  <c r="J126" i="3"/>
  <c r="K126" i="3" s="1"/>
  <c r="J127" i="3"/>
  <c r="J128" i="3"/>
  <c r="K128" i="3" s="1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G106" i="3"/>
  <c r="G107" i="3"/>
  <c r="G108" i="3"/>
  <c r="G109" i="3"/>
  <c r="R109" i="3"/>
  <c r="G110" i="3"/>
  <c r="G111" i="3"/>
  <c r="G112" i="3"/>
  <c r="G113" i="3"/>
  <c r="R113" i="3" s="1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R127" i="3" s="1"/>
  <c r="G128" i="3"/>
  <c r="G105" i="3"/>
  <c r="F106" i="3"/>
  <c r="F107" i="3"/>
  <c r="R107" i="3" s="1"/>
  <c r="F108" i="3"/>
  <c r="R108" i="3"/>
  <c r="F109" i="3"/>
  <c r="F110" i="3"/>
  <c r="R110" i="3" s="1"/>
  <c r="F111" i="3"/>
  <c r="R111" i="3"/>
  <c r="F112" i="3"/>
  <c r="F113" i="3"/>
  <c r="F114" i="3"/>
  <c r="R114" i="3" s="1"/>
  <c r="F115" i="3"/>
  <c r="F116" i="3"/>
  <c r="R116" i="3"/>
  <c r="F117" i="3"/>
  <c r="F118" i="3"/>
  <c r="R118" i="3"/>
  <c r="F119" i="3"/>
  <c r="R119" i="3" s="1"/>
  <c r="F120" i="3"/>
  <c r="R120" i="3" s="1"/>
  <c r="F121" i="3"/>
  <c r="F122" i="3"/>
  <c r="F123" i="3"/>
  <c r="R123" i="3" s="1"/>
  <c r="F124" i="3"/>
  <c r="R124" i="3" s="1"/>
  <c r="F125" i="3"/>
  <c r="F126" i="3"/>
  <c r="R126" i="3"/>
  <c r="F127" i="3"/>
  <c r="F128" i="3"/>
  <c r="R128" i="3"/>
  <c r="F105" i="3"/>
  <c r="R105" i="3"/>
  <c r="C106" i="3"/>
  <c r="K106" i="3"/>
  <c r="C107" i="3"/>
  <c r="C108" i="3"/>
  <c r="C109" i="3"/>
  <c r="C110" i="3"/>
  <c r="K110" i="3" s="1"/>
  <c r="C111" i="3"/>
  <c r="D111" i="3" s="1"/>
  <c r="C112" i="3"/>
  <c r="C113" i="3"/>
  <c r="C114" i="3"/>
  <c r="C115" i="3"/>
  <c r="C116" i="3"/>
  <c r="K116" i="3" s="1"/>
  <c r="C117" i="3"/>
  <c r="K117" i="3"/>
  <c r="C118" i="3"/>
  <c r="C119" i="3"/>
  <c r="C120" i="3"/>
  <c r="K120" i="3" s="1"/>
  <c r="C121" i="3"/>
  <c r="K121" i="3" s="1"/>
  <c r="C122" i="3"/>
  <c r="C123" i="3"/>
  <c r="C124" i="3"/>
  <c r="C125" i="3"/>
  <c r="D125" i="3" s="1"/>
  <c r="C126" i="3"/>
  <c r="C127" i="3"/>
  <c r="C128" i="3"/>
  <c r="R122" i="3"/>
  <c r="K118" i="3"/>
  <c r="R112" i="3"/>
  <c r="O79" i="3"/>
  <c r="Q23" i="3"/>
  <c r="Q22" i="3"/>
  <c r="O23" i="3"/>
  <c r="O22" i="3"/>
  <c r="N23" i="3"/>
  <c r="N22" i="3"/>
  <c r="J23" i="3"/>
  <c r="J22" i="3"/>
  <c r="K22" i="3"/>
  <c r="I23" i="3"/>
  <c r="I22" i="3"/>
  <c r="H23" i="3"/>
  <c r="H22" i="3"/>
  <c r="G23" i="3"/>
  <c r="G22" i="3"/>
  <c r="F23" i="3"/>
  <c r="R23" i="3"/>
  <c r="F22" i="3"/>
  <c r="R22" i="3" s="1"/>
  <c r="C23" i="3"/>
  <c r="K23" i="3"/>
  <c r="L23" i="3"/>
  <c r="C22" i="3"/>
  <c r="J10" i="10"/>
  <c r="K11" i="10"/>
  <c r="Q10" i="10"/>
  <c r="D11" i="10"/>
  <c r="J11" i="10"/>
  <c r="Q11" i="10"/>
  <c r="J14" i="10"/>
  <c r="K15" i="10" s="1"/>
  <c r="Q14" i="10"/>
  <c r="D15" i="10"/>
  <c r="J15" i="10"/>
  <c r="Q15" i="10"/>
  <c r="J18" i="10"/>
  <c r="K19" i="10"/>
  <c r="Q18" i="10"/>
  <c r="D19" i="10"/>
  <c r="J19" i="10"/>
  <c r="Q19" i="10"/>
  <c r="C22" i="10"/>
  <c r="J22" i="10" s="1"/>
  <c r="F22" i="10"/>
  <c r="Q22" i="10"/>
  <c r="G22" i="10"/>
  <c r="H22" i="10"/>
  <c r="I22" i="10"/>
  <c r="M22" i="10"/>
  <c r="N22" i="10"/>
  <c r="P22" i="10"/>
  <c r="C23" i="10"/>
  <c r="F23" i="10"/>
  <c r="G23" i="10"/>
  <c r="H23" i="10"/>
  <c r="I23" i="10"/>
  <c r="J23" i="10" s="1"/>
  <c r="M23" i="10"/>
  <c r="N23" i="10"/>
  <c r="P23" i="10"/>
  <c r="Q23" i="10"/>
  <c r="J27" i="10"/>
  <c r="K36" i="10" s="1"/>
  <c r="Q27" i="10"/>
  <c r="D28" i="10"/>
  <c r="J28" i="10"/>
  <c r="Q28" i="10"/>
  <c r="D29" i="10"/>
  <c r="J29" i="10"/>
  <c r="Q29" i="10"/>
  <c r="D30" i="10"/>
  <c r="J30" i="10"/>
  <c r="Q30" i="10"/>
  <c r="D31" i="10"/>
  <c r="J31" i="10"/>
  <c r="Q31" i="10"/>
  <c r="D32" i="10"/>
  <c r="J32" i="10"/>
  <c r="Q32" i="10"/>
  <c r="D33" i="10"/>
  <c r="J33" i="10"/>
  <c r="Q33" i="10"/>
  <c r="D34" i="10"/>
  <c r="J34" i="10"/>
  <c r="K34" i="10" s="1"/>
  <c r="Q34" i="10"/>
  <c r="D35" i="10"/>
  <c r="J35" i="10"/>
  <c r="Q35" i="10"/>
  <c r="D36" i="10"/>
  <c r="J36" i="10"/>
  <c r="Q36" i="10"/>
  <c r="D37" i="10"/>
  <c r="J37" i="10"/>
  <c r="Q37" i="10"/>
  <c r="D38" i="10"/>
  <c r="J38" i="10"/>
  <c r="K38" i="10" s="1"/>
  <c r="Q38" i="10"/>
  <c r="D39" i="10"/>
  <c r="J39" i="10"/>
  <c r="Q39" i="10"/>
  <c r="D40" i="10"/>
  <c r="J40" i="10"/>
  <c r="Q40" i="10"/>
  <c r="J43" i="10"/>
  <c r="K50" i="10" s="1"/>
  <c r="Q43" i="10"/>
  <c r="D44" i="10"/>
  <c r="J44" i="10"/>
  <c r="K44" i="10"/>
  <c r="Q44" i="10"/>
  <c r="D45" i="10"/>
  <c r="J45" i="10"/>
  <c r="Q45" i="10"/>
  <c r="D46" i="10"/>
  <c r="J46" i="10"/>
  <c r="Q46" i="10"/>
  <c r="D47" i="10"/>
  <c r="J47" i="10"/>
  <c r="Q47" i="10"/>
  <c r="D48" i="10"/>
  <c r="J48" i="10"/>
  <c r="K48" i="10" s="1"/>
  <c r="Q48" i="10"/>
  <c r="D49" i="10"/>
  <c r="J49" i="10"/>
  <c r="Q49" i="10"/>
  <c r="D50" i="10"/>
  <c r="J50" i="10"/>
  <c r="Q50" i="10"/>
  <c r="D51" i="10"/>
  <c r="J51" i="10"/>
  <c r="Q51" i="10"/>
  <c r="D52" i="10"/>
  <c r="J52" i="10"/>
  <c r="Q52" i="10"/>
  <c r="D53" i="10"/>
  <c r="J53" i="10"/>
  <c r="K53" i="10" s="1"/>
  <c r="Q53" i="10"/>
  <c r="D54" i="10"/>
  <c r="J54" i="10"/>
  <c r="Q54" i="10"/>
  <c r="D55" i="10"/>
  <c r="J55" i="10"/>
  <c r="Q55" i="10"/>
  <c r="D56" i="10"/>
  <c r="J56" i="10"/>
  <c r="Q56" i="10"/>
  <c r="J59" i="10"/>
  <c r="K69" i="10" s="1"/>
  <c r="Q59" i="10"/>
  <c r="D60" i="10"/>
  <c r="J60" i="10"/>
  <c r="K60" i="10"/>
  <c r="Q60" i="10"/>
  <c r="D61" i="10"/>
  <c r="J61" i="10"/>
  <c r="K61" i="10" s="1"/>
  <c r="Q61" i="10"/>
  <c r="D62" i="10"/>
  <c r="J62" i="10"/>
  <c r="Q62" i="10"/>
  <c r="D63" i="10"/>
  <c r="J63" i="10"/>
  <c r="Q63" i="10"/>
  <c r="D64" i="10"/>
  <c r="J64" i="10"/>
  <c r="K64" i="10" s="1"/>
  <c r="Q64" i="10"/>
  <c r="D65" i="10"/>
  <c r="J65" i="10"/>
  <c r="K65" i="10" s="1"/>
  <c r="Q65" i="10"/>
  <c r="D66" i="10"/>
  <c r="J66" i="10"/>
  <c r="Q66" i="10"/>
  <c r="D67" i="10"/>
  <c r="J67" i="10"/>
  <c r="Q67" i="10"/>
  <c r="D68" i="10"/>
  <c r="J68" i="10"/>
  <c r="Q68" i="10"/>
  <c r="D69" i="10"/>
  <c r="J69" i="10"/>
  <c r="Q69" i="10"/>
  <c r="D70" i="10"/>
  <c r="J70" i="10"/>
  <c r="Q70" i="10"/>
  <c r="D71" i="10"/>
  <c r="J71" i="10"/>
  <c r="Q71" i="10"/>
  <c r="D72" i="10"/>
  <c r="J72" i="10"/>
  <c r="K72" i="10" s="1"/>
  <c r="Q72" i="10"/>
  <c r="C75" i="10"/>
  <c r="F75" i="10"/>
  <c r="Q75" i="10"/>
  <c r="G75" i="10"/>
  <c r="H75" i="10"/>
  <c r="I75" i="10"/>
  <c r="J75" i="10"/>
  <c r="M75" i="10"/>
  <c r="N75" i="10"/>
  <c r="P75" i="10"/>
  <c r="C76" i="10"/>
  <c r="D76" i="10" s="1"/>
  <c r="F76" i="10"/>
  <c r="Q76" i="10" s="1"/>
  <c r="G76" i="10"/>
  <c r="H76" i="10"/>
  <c r="I76" i="10"/>
  <c r="J76" i="10" s="1"/>
  <c r="M76" i="10"/>
  <c r="N76" i="10"/>
  <c r="P76" i="10"/>
  <c r="C77" i="10"/>
  <c r="D77" i="10"/>
  <c r="F77" i="10"/>
  <c r="Q77" i="10"/>
  <c r="G77" i="10"/>
  <c r="H77" i="10"/>
  <c r="I77" i="10"/>
  <c r="J77" i="10"/>
  <c r="M77" i="10"/>
  <c r="N77" i="10"/>
  <c r="P77" i="10"/>
  <c r="C78" i="10"/>
  <c r="D78" i="10"/>
  <c r="F78" i="10"/>
  <c r="Q78" i="10"/>
  <c r="G78" i="10"/>
  <c r="H78" i="10"/>
  <c r="I78" i="10"/>
  <c r="J78" i="10"/>
  <c r="K78" i="10" s="1"/>
  <c r="M78" i="10"/>
  <c r="N78" i="10"/>
  <c r="P78" i="10"/>
  <c r="C79" i="10"/>
  <c r="D79" i="10" s="1"/>
  <c r="F79" i="10"/>
  <c r="Q79" i="10" s="1"/>
  <c r="G79" i="10"/>
  <c r="H79" i="10"/>
  <c r="I79" i="10"/>
  <c r="M79" i="10"/>
  <c r="N79" i="10"/>
  <c r="P79" i="10"/>
  <c r="C80" i="10"/>
  <c r="D80" i="10"/>
  <c r="F80" i="10"/>
  <c r="Q80" i="10" s="1"/>
  <c r="G80" i="10"/>
  <c r="H80" i="10"/>
  <c r="I80" i="10"/>
  <c r="J80" i="10" s="1"/>
  <c r="M80" i="10"/>
  <c r="N80" i="10"/>
  <c r="P80" i="10"/>
  <c r="C81" i="10"/>
  <c r="D81" i="10"/>
  <c r="F81" i="10"/>
  <c r="Q81" i="10"/>
  <c r="G81" i="10"/>
  <c r="H81" i="10"/>
  <c r="I81" i="10"/>
  <c r="J81" i="10"/>
  <c r="M81" i="10"/>
  <c r="N81" i="10"/>
  <c r="P81" i="10"/>
  <c r="C82" i="10"/>
  <c r="D82" i="10"/>
  <c r="F82" i="10"/>
  <c r="Q82" i="10" s="1"/>
  <c r="G82" i="10"/>
  <c r="H82" i="10"/>
  <c r="I82" i="10"/>
  <c r="J82" i="10" s="1"/>
  <c r="M82" i="10"/>
  <c r="N82" i="10"/>
  <c r="P82" i="10"/>
  <c r="C83" i="10"/>
  <c r="D83" i="10" s="1"/>
  <c r="F83" i="10"/>
  <c r="Q83" i="10"/>
  <c r="G83" i="10"/>
  <c r="H83" i="10"/>
  <c r="I83" i="10"/>
  <c r="J83" i="10"/>
  <c r="K83" i="10"/>
  <c r="M83" i="10"/>
  <c r="N83" i="10"/>
  <c r="P83" i="10"/>
  <c r="C84" i="10"/>
  <c r="F84" i="10"/>
  <c r="Q84" i="10"/>
  <c r="G84" i="10"/>
  <c r="H84" i="10"/>
  <c r="I84" i="10"/>
  <c r="M84" i="10"/>
  <c r="N84" i="10"/>
  <c r="P84" i="10"/>
  <c r="C85" i="10"/>
  <c r="J85" i="10" s="1"/>
  <c r="D85" i="10"/>
  <c r="F85" i="10"/>
  <c r="Q85" i="10"/>
  <c r="G85" i="10"/>
  <c r="H85" i="10"/>
  <c r="I85" i="10"/>
  <c r="M85" i="10"/>
  <c r="N85" i="10"/>
  <c r="P85" i="10"/>
  <c r="C86" i="10"/>
  <c r="J86" i="10" s="1"/>
  <c r="K86" i="10" s="1"/>
  <c r="D86" i="10"/>
  <c r="F86" i="10"/>
  <c r="Q86" i="10"/>
  <c r="G86" i="10"/>
  <c r="H86" i="10"/>
  <c r="I86" i="10"/>
  <c r="M86" i="10"/>
  <c r="N86" i="10"/>
  <c r="P86" i="10"/>
  <c r="C87" i="10"/>
  <c r="D87" i="10"/>
  <c r="F87" i="10"/>
  <c r="Q87" i="10" s="1"/>
  <c r="G87" i="10"/>
  <c r="H87" i="10"/>
  <c r="I87" i="10"/>
  <c r="J87" i="10" s="1"/>
  <c r="K87" i="10"/>
  <c r="M87" i="10"/>
  <c r="N87" i="10"/>
  <c r="P87" i="10"/>
  <c r="C88" i="10"/>
  <c r="D88" i="10"/>
  <c r="F88" i="10"/>
  <c r="Q88" i="10" s="1"/>
  <c r="G88" i="10"/>
  <c r="H88" i="10"/>
  <c r="I88" i="10"/>
  <c r="J88" i="10" s="1"/>
  <c r="K88" i="10" s="1"/>
  <c r="M88" i="10"/>
  <c r="N88" i="10"/>
  <c r="P88" i="10"/>
  <c r="K10" i="3"/>
  <c r="R10" i="3"/>
  <c r="D11" i="3"/>
  <c r="K11" i="3"/>
  <c r="L11" i="3"/>
  <c r="R11" i="3"/>
  <c r="K14" i="3"/>
  <c r="R14" i="3"/>
  <c r="D15" i="3"/>
  <c r="K15" i="3"/>
  <c r="L15" i="3"/>
  <c r="R15" i="3"/>
  <c r="K18" i="3"/>
  <c r="R18" i="3"/>
  <c r="D19" i="3"/>
  <c r="K19" i="3"/>
  <c r="R19" i="3"/>
  <c r="C27" i="3"/>
  <c r="H27" i="3"/>
  <c r="H105" i="3"/>
  <c r="J27" i="3"/>
  <c r="K27" i="3"/>
  <c r="N27" i="3"/>
  <c r="N105" i="3" s="1"/>
  <c r="O27" i="3"/>
  <c r="O105" i="3" s="1"/>
  <c r="R27" i="3"/>
  <c r="D28" i="3"/>
  <c r="K28" i="3"/>
  <c r="L28" i="3" s="1"/>
  <c r="R28" i="3"/>
  <c r="D29" i="3"/>
  <c r="K29" i="3"/>
  <c r="L29" i="3" s="1"/>
  <c r="R29" i="3"/>
  <c r="D30" i="3"/>
  <c r="K30" i="3"/>
  <c r="L30" i="3" s="1"/>
  <c r="R30" i="3"/>
  <c r="D31" i="3"/>
  <c r="K31" i="3"/>
  <c r="L31" i="3" s="1"/>
  <c r="R31" i="3"/>
  <c r="D32" i="3"/>
  <c r="K32" i="3"/>
  <c r="L32" i="3" s="1"/>
  <c r="R32" i="3"/>
  <c r="D33" i="3"/>
  <c r="K33" i="3"/>
  <c r="L33" i="3" s="1"/>
  <c r="R33" i="3"/>
  <c r="D34" i="3"/>
  <c r="K34" i="3"/>
  <c r="L34" i="3" s="1"/>
  <c r="R34" i="3"/>
  <c r="D35" i="3"/>
  <c r="K35" i="3"/>
  <c r="L35" i="3" s="1"/>
  <c r="R35" i="3"/>
  <c r="D36" i="3"/>
  <c r="K36" i="3"/>
  <c r="L36" i="3" s="1"/>
  <c r="R36" i="3"/>
  <c r="D37" i="3"/>
  <c r="K37" i="3"/>
  <c r="L37" i="3" s="1"/>
  <c r="R37" i="3"/>
  <c r="D38" i="3"/>
  <c r="K38" i="3"/>
  <c r="L38" i="3" s="1"/>
  <c r="R38" i="3"/>
  <c r="D39" i="3"/>
  <c r="K39" i="3"/>
  <c r="L39" i="3" s="1"/>
  <c r="R39" i="3"/>
  <c r="D40" i="3"/>
  <c r="K40" i="3"/>
  <c r="L40" i="3" s="1"/>
  <c r="R40" i="3"/>
  <c r="D41" i="3"/>
  <c r="K41" i="3"/>
  <c r="L41" i="3" s="1"/>
  <c r="R41" i="3"/>
  <c r="D42" i="3"/>
  <c r="K42" i="3"/>
  <c r="L42" i="3" s="1"/>
  <c r="R42" i="3"/>
  <c r="D43" i="3"/>
  <c r="K43" i="3"/>
  <c r="L43" i="3" s="1"/>
  <c r="R43" i="3"/>
  <c r="D44" i="3"/>
  <c r="K44" i="3"/>
  <c r="L44" i="3" s="1"/>
  <c r="R44" i="3"/>
  <c r="D45" i="3"/>
  <c r="K45" i="3"/>
  <c r="L45" i="3" s="1"/>
  <c r="R45" i="3"/>
  <c r="D46" i="3"/>
  <c r="K46" i="3"/>
  <c r="L46" i="3" s="1"/>
  <c r="R46" i="3"/>
  <c r="D47" i="3"/>
  <c r="K47" i="3"/>
  <c r="L47" i="3" s="1"/>
  <c r="R47" i="3"/>
  <c r="D48" i="3"/>
  <c r="K48" i="3"/>
  <c r="L48" i="3" s="1"/>
  <c r="R48" i="3"/>
  <c r="D49" i="3"/>
  <c r="K49" i="3"/>
  <c r="L49" i="3" s="1"/>
  <c r="R49" i="3"/>
  <c r="D50" i="3"/>
  <c r="K50" i="3"/>
  <c r="L50" i="3" s="1"/>
  <c r="R50" i="3"/>
  <c r="C53" i="3"/>
  <c r="C105" i="3"/>
  <c r="D112" i="3" s="1"/>
  <c r="H53" i="3"/>
  <c r="N53" i="3"/>
  <c r="O53" i="3"/>
  <c r="R53" i="3"/>
  <c r="K54" i="3"/>
  <c r="R54" i="3"/>
  <c r="K55" i="3"/>
  <c r="R55" i="3"/>
  <c r="K56" i="3"/>
  <c r="R56" i="3"/>
  <c r="K57" i="3"/>
  <c r="R57" i="3"/>
  <c r="K58" i="3"/>
  <c r="R58" i="3"/>
  <c r="K59" i="3"/>
  <c r="R59" i="3"/>
  <c r="K60" i="3"/>
  <c r="R60" i="3"/>
  <c r="K61" i="3"/>
  <c r="R61" i="3"/>
  <c r="K62" i="3"/>
  <c r="R62" i="3"/>
  <c r="K63" i="3"/>
  <c r="R63" i="3"/>
  <c r="K64" i="3"/>
  <c r="R64" i="3"/>
  <c r="K65" i="3"/>
  <c r="R65" i="3"/>
  <c r="K66" i="3"/>
  <c r="R66" i="3"/>
  <c r="K67" i="3"/>
  <c r="R67" i="3"/>
  <c r="K68" i="3"/>
  <c r="R68" i="3"/>
  <c r="K69" i="3"/>
  <c r="R69" i="3"/>
  <c r="K70" i="3"/>
  <c r="R70" i="3"/>
  <c r="K71" i="3"/>
  <c r="R71" i="3"/>
  <c r="K72" i="3"/>
  <c r="R72" i="3"/>
  <c r="K73" i="3"/>
  <c r="R73" i="3"/>
  <c r="K74" i="3"/>
  <c r="R74" i="3"/>
  <c r="K75" i="3"/>
  <c r="R75" i="3"/>
  <c r="K76" i="3"/>
  <c r="R76" i="3"/>
  <c r="J79" i="3"/>
  <c r="K79" i="3"/>
  <c r="L82" i="3"/>
  <c r="N79" i="3"/>
  <c r="Q79" i="3"/>
  <c r="Q105" i="3" s="1"/>
  <c r="R79" i="3"/>
  <c r="D80" i="3"/>
  <c r="K80" i="3"/>
  <c r="L80" i="3" s="1"/>
  <c r="R80" i="3"/>
  <c r="D81" i="3"/>
  <c r="K81" i="3"/>
  <c r="R81" i="3"/>
  <c r="D82" i="3"/>
  <c r="K82" i="3"/>
  <c r="R82" i="3"/>
  <c r="D83" i="3"/>
  <c r="K83" i="3"/>
  <c r="R83" i="3"/>
  <c r="D84" i="3"/>
  <c r="K84" i="3"/>
  <c r="R84" i="3"/>
  <c r="D85" i="3"/>
  <c r="K85" i="3"/>
  <c r="R85" i="3"/>
  <c r="D86" i="3"/>
  <c r="K86" i="3"/>
  <c r="R86" i="3"/>
  <c r="D87" i="3"/>
  <c r="K87" i="3"/>
  <c r="R87" i="3"/>
  <c r="D88" i="3"/>
  <c r="K88" i="3"/>
  <c r="R88" i="3"/>
  <c r="D89" i="3"/>
  <c r="K89" i="3"/>
  <c r="R89" i="3"/>
  <c r="D90" i="3"/>
  <c r="K90" i="3"/>
  <c r="R90" i="3"/>
  <c r="D91" i="3"/>
  <c r="K91" i="3"/>
  <c r="R91" i="3"/>
  <c r="D92" i="3"/>
  <c r="K92" i="3"/>
  <c r="L92" i="3" s="1"/>
  <c r="R92" i="3"/>
  <c r="D93" i="3"/>
  <c r="K93" i="3"/>
  <c r="R93" i="3"/>
  <c r="D94" i="3"/>
  <c r="K94" i="3"/>
  <c r="R94" i="3"/>
  <c r="D95" i="3"/>
  <c r="K95" i="3"/>
  <c r="R95" i="3"/>
  <c r="D96" i="3"/>
  <c r="K96" i="3"/>
  <c r="R96" i="3"/>
  <c r="D97" i="3"/>
  <c r="K97" i="3"/>
  <c r="R97" i="3"/>
  <c r="D98" i="3"/>
  <c r="K98" i="3"/>
  <c r="R98" i="3"/>
  <c r="D99" i="3"/>
  <c r="K99" i="3"/>
  <c r="R99" i="3"/>
  <c r="D100" i="3"/>
  <c r="K100" i="3"/>
  <c r="R100" i="3"/>
  <c r="D101" i="3"/>
  <c r="K101" i="3"/>
  <c r="R101" i="3"/>
  <c r="D102" i="3"/>
  <c r="K102" i="3"/>
  <c r="R102" i="3"/>
  <c r="C9" i="7"/>
  <c r="D17" i="7" s="1"/>
  <c r="G9" i="7"/>
  <c r="H9" i="7"/>
  <c r="J9" i="7"/>
  <c r="N9" i="7"/>
  <c r="P9" i="7"/>
  <c r="R9" i="7"/>
  <c r="T9" i="7"/>
  <c r="V9" i="7"/>
  <c r="D11" i="7"/>
  <c r="D13" i="7"/>
  <c r="D15" i="7"/>
  <c r="D19" i="7"/>
  <c r="D21" i="7"/>
  <c r="D23" i="7"/>
  <c r="D27" i="7"/>
  <c r="C29" i="7"/>
  <c r="H29" i="7"/>
  <c r="J29" i="7"/>
  <c r="L29" i="7"/>
  <c r="N29" i="7"/>
  <c r="N69" i="7" s="1"/>
  <c r="P29" i="7"/>
  <c r="R29" i="7"/>
  <c r="R69" i="7" s="1"/>
  <c r="T29" i="7"/>
  <c r="V29" i="7"/>
  <c r="D32" i="7"/>
  <c r="D33" i="7"/>
  <c r="D36" i="7"/>
  <c r="D37" i="7"/>
  <c r="D40" i="7"/>
  <c r="D41" i="7"/>
  <c r="D44" i="7"/>
  <c r="D45" i="7"/>
  <c r="C49" i="7"/>
  <c r="F49" i="7"/>
  <c r="F69" i="7" s="1"/>
  <c r="H49" i="7"/>
  <c r="J49" i="7"/>
  <c r="J69" i="7" s="1"/>
  <c r="L49" i="7"/>
  <c r="L69" i="7" s="1"/>
  <c r="N49" i="7"/>
  <c r="P49" i="7"/>
  <c r="R49" i="7"/>
  <c r="T49" i="7"/>
  <c r="V49" i="7"/>
  <c r="D58" i="7"/>
  <c r="G69" i="7"/>
  <c r="I69" i="7"/>
  <c r="T69" i="7"/>
  <c r="C70" i="7"/>
  <c r="F70" i="7"/>
  <c r="G70" i="7"/>
  <c r="H70" i="7"/>
  <c r="I70" i="7"/>
  <c r="J70" i="7"/>
  <c r="L70" i="7"/>
  <c r="N70" i="7"/>
  <c r="P70" i="7"/>
  <c r="R70" i="7"/>
  <c r="T70" i="7"/>
  <c r="V70" i="7"/>
  <c r="C71" i="7"/>
  <c r="F71" i="7"/>
  <c r="G71" i="7"/>
  <c r="H71" i="7"/>
  <c r="I71" i="7"/>
  <c r="J71" i="7"/>
  <c r="L71" i="7"/>
  <c r="N71" i="7"/>
  <c r="P71" i="7"/>
  <c r="R71" i="7"/>
  <c r="T71" i="7"/>
  <c r="V71" i="7"/>
  <c r="C72" i="7"/>
  <c r="F72" i="7"/>
  <c r="G72" i="7"/>
  <c r="H72" i="7"/>
  <c r="I72" i="7"/>
  <c r="J72" i="7"/>
  <c r="L72" i="7"/>
  <c r="N72" i="7"/>
  <c r="P72" i="7"/>
  <c r="R72" i="7"/>
  <c r="T72" i="7"/>
  <c r="V72" i="7"/>
  <c r="C73" i="7"/>
  <c r="F73" i="7"/>
  <c r="G73" i="7"/>
  <c r="H73" i="7"/>
  <c r="I73" i="7"/>
  <c r="J73" i="7"/>
  <c r="L73" i="7"/>
  <c r="N73" i="7"/>
  <c r="P73" i="7"/>
  <c r="R73" i="7"/>
  <c r="T73" i="7"/>
  <c r="V73" i="7"/>
  <c r="C74" i="7"/>
  <c r="F74" i="7"/>
  <c r="G74" i="7"/>
  <c r="H74" i="7"/>
  <c r="I74" i="7"/>
  <c r="J74" i="7"/>
  <c r="L74" i="7"/>
  <c r="N74" i="7"/>
  <c r="P74" i="7"/>
  <c r="R74" i="7"/>
  <c r="T74" i="7"/>
  <c r="V74" i="7"/>
  <c r="C75" i="7"/>
  <c r="F75" i="7"/>
  <c r="G75" i="7"/>
  <c r="H75" i="7"/>
  <c r="I75" i="7"/>
  <c r="J75" i="7"/>
  <c r="L75" i="7"/>
  <c r="N75" i="7"/>
  <c r="P75" i="7"/>
  <c r="R75" i="7"/>
  <c r="T75" i="7"/>
  <c r="V75" i="7"/>
  <c r="C76" i="7"/>
  <c r="F76" i="7"/>
  <c r="G76" i="7"/>
  <c r="H76" i="7"/>
  <c r="I76" i="7"/>
  <c r="J76" i="7"/>
  <c r="L76" i="7"/>
  <c r="N76" i="7"/>
  <c r="P76" i="7"/>
  <c r="R76" i="7"/>
  <c r="T76" i="7"/>
  <c r="V76" i="7"/>
  <c r="C77" i="7"/>
  <c r="F77" i="7"/>
  <c r="G77" i="7"/>
  <c r="H77" i="7"/>
  <c r="I77" i="7"/>
  <c r="J77" i="7"/>
  <c r="L77" i="7"/>
  <c r="N77" i="7"/>
  <c r="P77" i="7"/>
  <c r="R77" i="7"/>
  <c r="T77" i="7"/>
  <c r="V77" i="7"/>
  <c r="C78" i="7"/>
  <c r="F78" i="7"/>
  <c r="X78" i="7"/>
  <c r="G78" i="7"/>
  <c r="H78" i="7"/>
  <c r="I78" i="7"/>
  <c r="J78" i="7"/>
  <c r="L78" i="7"/>
  <c r="N78" i="7"/>
  <c r="P78" i="7"/>
  <c r="R78" i="7"/>
  <c r="T78" i="7"/>
  <c r="V78" i="7"/>
  <c r="C79" i="7"/>
  <c r="F79" i="7"/>
  <c r="X79" i="7" s="1"/>
  <c r="G79" i="7"/>
  <c r="H79" i="7"/>
  <c r="I79" i="7"/>
  <c r="J79" i="7"/>
  <c r="L79" i="7"/>
  <c r="N79" i="7"/>
  <c r="P79" i="7"/>
  <c r="R79" i="7"/>
  <c r="T79" i="7"/>
  <c r="V79" i="7"/>
  <c r="C80" i="7"/>
  <c r="F80" i="7"/>
  <c r="G80" i="7"/>
  <c r="H80" i="7"/>
  <c r="I80" i="7"/>
  <c r="J80" i="7"/>
  <c r="L80" i="7"/>
  <c r="N80" i="7"/>
  <c r="P80" i="7"/>
  <c r="R80" i="7"/>
  <c r="T80" i="7"/>
  <c r="V80" i="7"/>
  <c r="C81" i="7"/>
  <c r="F81" i="7"/>
  <c r="X81" i="7" s="1"/>
  <c r="G81" i="7"/>
  <c r="H81" i="7"/>
  <c r="I81" i="7"/>
  <c r="J81" i="7"/>
  <c r="L81" i="7"/>
  <c r="N81" i="7"/>
  <c r="P81" i="7"/>
  <c r="R81" i="7"/>
  <c r="T81" i="7"/>
  <c r="V81" i="7"/>
  <c r="C82" i="7"/>
  <c r="F82" i="7"/>
  <c r="X82" i="7" s="1"/>
  <c r="G82" i="7"/>
  <c r="H82" i="7"/>
  <c r="I82" i="7"/>
  <c r="J82" i="7"/>
  <c r="L82" i="7"/>
  <c r="N82" i="7"/>
  <c r="P82" i="7"/>
  <c r="R82" i="7"/>
  <c r="T82" i="7"/>
  <c r="V82" i="7"/>
  <c r="C83" i="7"/>
  <c r="F83" i="7"/>
  <c r="G83" i="7"/>
  <c r="H83" i="7"/>
  <c r="I83" i="7"/>
  <c r="J83" i="7"/>
  <c r="L83" i="7"/>
  <c r="N83" i="7"/>
  <c r="P83" i="7"/>
  <c r="R83" i="7"/>
  <c r="T83" i="7"/>
  <c r="V83" i="7"/>
  <c r="C84" i="7"/>
  <c r="F84" i="7"/>
  <c r="G84" i="7"/>
  <c r="H84" i="7"/>
  <c r="I84" i="7"/>
  <c r="J84" i="7"/>
  <c r="L84" i="7"/>
  <c r="N84" i="7"/>
  <c r="P84" i="7"/>
  <c r="R84" i="7"/>
  <c r="T84" i="7"/>
  <c r="V84" i="7"/>
  <c r="C85" i="7"/>
  <c r="F85" i="7"/>
  <c r="G85" i="7"/>
  <c r="H85" i="7"/>
  <c r="I85" i="7"/>
  <c r="J85" i="7"/>
  <c r="L85" i="7"/>
  <c r="N85" i="7"/>
  <c r="P85" i="7"/>
  <c r="R85" i="7"/>
  <c r="T85" i="7"/>
  <c r="V85" i="7"/>
  <c r="C86" i="7"/>
  <c r="F86" i="7"/>
  <c r="X86" i="7"/>
  <c r="G86" i="7"/>
  <c r="H86" i="7"/>
  <c r="I86" i="7"/>
  <c r="J86" i="7"/>
  <c r="L86" i="7"/>
  <c r="N86" i="7"/>
  <c r="P86" i="7"/>
  <c r="R86" i="7"/>
  <c r="T86" i="7"/>
  <c r="V86" i="7"/>
  <c r="C87" i="7"/>
  <c r="F87" i="7"/>
  <c r="G87" i="7"/>
  <c r="H87" i="7"/>
  <c r="I87" i="7"/>
  <c r="J87" i="7"/>
  <c r="L87" i="7"/>
  <c r="N87" i="7"/>
  <c r="P87" i="7"/>
  <c r="R87" i="7"/>
  <c r="T87" i="7"/>
  <c r="V87" i="7"/>
  <c r="D10" i="11"/>
  <c r="D13" i="11"/>
  <c r="C15" i="11"/>
  <c r="F15" i="11"/>
  <c r="G15" i="11"/>
  <c r="H15" i="11"/>
  <c r="I15" i="11"/>
  <c r="J15" i="11"/>
  <c r="L15" i="11"/>
  <c r="N15" i="11"/>
  <c r="P15" i="11"/>
  <c r="C16" i="11"/>
  <c r="D16" i="11" s="1"/>
  <c r="F16" i="11"/>
  <c r="G16" i="11"/>
  <c r="H16" i="11"/>
  <c r="I16" i="11"/>
  <c r="J16" i="11"/>
  <c r="L16" i="11"/>
  <c r="N16" i="11"/>
  <c r="P16" i="11"/>
  <c r="D10" i="8"/>
  <c r="D11" i="8"/>
  <c r="D14" i="8"/>
  <c r="D15" i="8"/>
  <c r="D18" i="8"/>
  <c r="D19" i="8"/>
  <c r="C21" i="8"/>
  <c r="F21" i="8"/>
  <c r="G21" i="8"/>
  <c r="H21" i="8"/>
  <c r="I21" i="8"/>
  <c r="J21" i="8"/>
  <c r="L21" i="8"/>
  <c r="N21" i="8"/>
  <c r="P21" i="8"/>
  <c r="R21" i="8"/>
  <c r="C22" i="8"/>
  <c r="D22" i="8"/>
  <c r="F22" i="8"/>
  <c r="G22" i="8"/>
  <c r="H22" i="8"/>
  <c r="I22" i="8"/>
  <c r="J22" i="8"/>
  <c r="L22" i="8"/>
  <c r="N22" i="8"/>
  <c r="P22" i="8"/>
  <c r="R22" i="8"/>
  <c r="C23" i="8"/>
  <c r="D23" i="8"/>
  <c r="F23" i="8"/>
  <c r="T23" i="8" s="1"/>
  <c r="G23" i="8"/>
  <c r="H23" i="8"/>
  <c r="I23" i="8"/>
  <c r="J23" i="8"/>
  <c r="L23" i="8"/>
  <c r="N23" i="8"/>
  <c r="P23" i="8"/>
  <c r="R23" i="8"/>
  <c r="D10" i="9"/>
  <c r="D13" i="9"/>
  <c r="D16" i="9"/>
  <c r="C18" i="9"/>
  <c r="D19" i="9" s="1"/>
  <c r="F18" i="9"/>
  <c r="G18" i="9"/>
  <c r="H18" i="9"/>
  <c r="I18" i="9"/>
  <c r="J18" i="9"/>
  <c r="L18" i="9"/>
  <c r="N18" i="9"/>
  <c r="P18" i="9"/>
  <c r="R18" i="9"/>
  <c r="C19" i="9"/>
  <c r="F19" i="9"/>
  <c r="G19" i="9"/>
  <c r="H19" i="9"/>
  <c r="I19" i="9"/>
  <c r="J19" i="9"/>
  <c r="L19" i="9"/>
  <c r="N19" i="9"/>
  <c r="P19" i="9"/>
  <c r="R19" i="9"/>
  <c r="AF12" i="1"/>
  <c r="AF13" i="1"/>
  <c r="AF14" i="1"/>
  <c r="AF16" i="1"/>
  <c r="AF17" i="1"/>
  <c r="AF18" i="1"/>
  <c r="R115" i="3"/>
  <c r="D28" i="12"/>
  <c r="G32" i="12"/>
  <c r="Q32" i="12"/>
  <c r="I32" i="12"/>
  <c r="S32" i="12"/>
  <c r="K32" i="12"/>
  <c r="M32" i="12"/>
  <c r="D27" i="12"/>
  <c r="D33" i="12"/>
  <c r="D34" i="12"/>
  <c r="U32" i="12"/>
  <c r="D9" i="12"/>
  <c r="O32" i="12"/>
  <c r="D35" i="12"/>
  <c r="D37" i="12"/>
  <c r="D18" i="12"/>
  <c r="D20" i="12"/>
  <c r="D14" i="12"/>
  <c r="D17" i="12"/>
  <c r="D26" i="12"/>
  <c r="D29" i="12"/>
  <c r="D12" i="12"/>
  <c r="D21" i="12"/>
  <c r="D11" i="12"/>
  <c r="D30" i="12"/>
  <c r="D19" i="12"/>
  <c r="D13" i="12"/>
  <c r="D22" i="12"/>
  <c r="D10" i="12"/>
  <c r="D25" i="12"/>
  <c r="D34" i="13"/>
  <c r="D36" i="13"/>
  <c r="D29" i="13"/>
  <c r="D35" i="13"/>
  <c r="D31" i="13"/>
  <c r="D32" i="13"/>
  <c r="D33" i="13"/>
  <c r="D45" i="13"/>
  <c r="D11" i="13"/>
  <c r="D57" i="13"/>
  <c r="D40" i="13"/>
  <c r="D46" i="13"/>
  <c r="D52" i="13"/>
  <c r="D58" i="13"/>
  <c r="D41" i="13"/>
  <c r="D47" i="13"/>
  <c r="D54" i="13"/>
  <c r="D43" i="13"/>
  <c r="D53" i="13"/>
  <c r="D55" i="13"/>
  <c r="D42" i="13"/>
  <c r="D44" i="13"/>
  <c r="D51" i="13"/>
  <c r="D56" i="13"/>
  <c r="D64" i="13"/>
  <c r="D68" i="13"/>
  <c r="D62" i="13"/>
  <c r="D61" i="13"/>
  <c r="D11" i="14"/>
  <c r="D15" i="14"/>
  <c r="D10" i="14"/>
  <c r="D16" i="14"/>
  <c r="D12" i="14"/>
  <c r="L95" i="3"/>
  <c r="L86" i="3"/>
  <c r="L91" i="3"/>
  <c r="K62" i="10"/>
  <c r="K29" i="10"/>
  <c r="K49" i="10"/>
  <c r="K40" i="10"/>
  <c r="D123" i="3"/>
  <c r="D114" i="3"/>
  <c r="D117" i="3"/>
  <c r="D126" i="3"/>
  <c r="D128" i="3"/>
  <c r="D115" i="3"/>
  <c r="D107" i="3"/>
  <c r="E26" i="2"/>
  <c r="D51" i="7"/>
  <c r="D57" i="7"/>
  <c r="D59" i="7"/>
  <c r="D61" i="7"/>
  <c r="D67" i="7"/>
  <c r="K37" i="10"/>
  <c r="L88" i="3"/>
  <c r="L94" i="3"/>
  <c r="L83" i="3"/>
  <c r="L89" i="3"/>
  <c r="L101" i="3"/>
  <c r="D23" i="3"/>
  <c r="K112" i="3"/>
  <c r="D64" i="7"/>
  <c r="D60" i="7"/>
  <c r="H69" i="7"/>
  <c r="D10" i="7"/>
  <c r="D12" i="7"/>
  <c r="D16" i="7"/>
  <c r="D18" i="7"/>
  <c r="D20" i="7"/>
  <c r="D24" i="7"/>
  <c r="D26" i="7"/>
  <c r="L102" i="3"/>
  <c r="L98" i="3"/>
  <c r="L96" i="3"/>
  <c r="L90" i="3"/>
  <c r="L87" i="3"/>
  <c r="L84" i="3"/>
  <c r="K80" i="10"/>
  <c r="K76" i="10"/>
  <c r="K32" i="10"/>
  <c r="D120" i="3"/>
  <c r="R125" i="3"/>
  <c r="J105" i="3"/>
  <c r="K127" i="3"/>
  <c r="K125" i="3"/>
  <c r="X72" i="7"/>
  <c r="X76" i="7"/>
  <c r="X71" i="7"/>
  <c r="X75" i="7"/>
  <c r="X83" i="7"/>
  <c r="X87" i="7"/>
  <c r="AD20" i="1"/>
  <c r="AD22" i="1"/>
  <c r="L110" i="3" l="1"/>
  <c r="L66" i="3"/>
  <c r="L123" i="3"/>
  <c r="L128" i="3"/>
  <c r="K71" i="10"/>
  <c r="K55" i="10"/>
  <c r="D84" i="10"/>
  <c r="J84" i="10"/>
  <c r="K84" i="10" s="1"/>
  <c r="K54" i="10"/>
  <c r="L19" i="3"/>
  <c r="X85" i="7"/>
  <c r="D124" i="3"/>
  <c r="D119" i="3"/>
  <c r="D118" i="3"/>
  <c r="K66" i="10"/>
  <c r="D54" i="3"/>
  <c r="D56" i="3"/>
  <c r="D58" i="3"/>
  <c r="D60" i="3"/>
  <c r="D62" i="3"/>
  <c r="D64" i="3"/>
  <c r="D65" i="3"/>
  <c r="D67" i="3"/>
  <c r="D69" i="3"/>
  <c r="D71" i="3"/>
  <c r="D73" i="3"/>
  <c r="D75" i="3"/>
  <c r="K53" i="3"/>
  <c r="L70" i="3" s="1"/>
  <c r="D55" i="3"/>
  <c r="D57" i="3"/>
  <c r="D59" i="3"/>
  <c r="D61" i="3"/>
  <c r="D63" i="3"/>
  <c r="D66" i="3"/>
  <c r="D68" i="3"/>
  <c r="D70" i="3"/>
  <c r="D72" i="3"/>
  <c r="D74" i="3"/>
  <c r="D76" i="3"/>
  <c r="K47" i="10"/>
  <c r="K52" i="10"/>
  <c r="K56" i="10"/>
  <c r="K45" i="10"/>
  <c r="T19" i="9"/>
  <c r="L127" i="3"/>
  <c r="K63" i="10"/>
  <c r="K35" i="10"/>
  <c r="K39" i="10"/>
  <c r="K31" i="10"/>
  <c r="L120" i="3"/>
  <c r="K105" i="3"/>
  <c r="L124" i="3" s="1"/>
  <c r="D116" i="3"/>
  <c r="K51" i="10"/>
  <c r="D50" i="7"/>
  <c r="D66" i="7"/>
  <c r="D55" i="7"/>
  <c r="D63" i="7"/>
  <c r="D52" i="7"/>
  <c r="D54" i="7"/>
  <c r="P69" i="7"/>
  <c r="L81" i="3"/>
  <c r="L97" i="3"/>
  <c r="K68" i="10"/>
  <c r="K67" i="10"/>
  <c r="K28" i="10"/>
  <c r="K23" i="10"/>
  <c r="D23" i="10"/>
  <c r="D127" i="3"/>
  <c r="K113" i="3"/>
  <c r="L113" i="3" s="1"/>
  <c r="D113" i="3"/>
  <c r="K109" i="3"/>
  <c r="L109" i="3" s="1"/>
  <c r="D109" i="3"/>
  <c r="D106" i="3"/>
  <c r="R106" i="3"/>
  <c r="L126" i="3"/>
  <c r="E24" i="2"/>
  <c r="I21" i="1"/>
  <c r="I22" i="1"/>
  <c r="D23" i="16"/>
  <c r="D24" i="16"/>
  <c r="L93" i="3"/>
  <c r="D56" i="7"/>
  <c r="L100" i="3"/>
  <c r="K30" i="10"/>
  <c r="D65" i="7"/>
  <c r="D53" i="7"/>
  <c r="D121" i="3"/>
  <c r="D110" i="3"/>
  <c r="D122" i="3"/>
  <c r="L85" i="3"/>
  <c r="D62" i="7"/>
  <c r="D30" i="7"/>
  <c r="D34" i="7"/>
  <c r="D38" i="7"/>
  <c r="D42" i="7"/>
  <c r="D46" i="7"/>
  <c r="D31" i="7"/>
  <c r="D39" i="7"/>
  <c r="D47" i="7"/>
  <c r="D35" i="7"/>
  <c r="D43" i="7"/>
  <c r="V69" i="7"/>
  <c r="L99" i="3"/>
  <c r="K85" i="10"/>
  <c r="K82" i="10"/>
  <c r="K77" i="10"/>
  <c r="K33" i="10"/>
  <c r="D108" i="3"/>
  <c r="R117" i="3"/>
  <c r="D25" i="2"/>
  <c r="E25" i="2" s="1"/>
  <c r="X49" i="7"/>
  <c r="K81" i="10"/>
  <c r="K46" i="10"/>
  <c r="K122" i="3"/>
  <c r="L122" i="3" s="1"/>
  <c r="K114" i="3"/>
  <c r="L114" i="3" s="1"/>
  <c r="R15" i="11"/>
  <c r="V22" i="16"/>
  <c r="D22" i="7"/>
  <c r="D14" i="7"/>
  <c r="C69" i="7"/>
  <c r="D87" i="7" s="1"/>
  <c r="D25" i="7"/>
  <c r="J79" i="10"/>
  <c r="K79" i="10" s="1"/>
  <c r="K70" i="10"/>
  <c r="R121" i="3"/>
  <c r="T21" i="8"/>
  <c r="O22" i="1"/>
  <c r="L107" i="3" l="1"/>
  <c r="L54" i="3"/>
  <c r="L57" i="3"/>
  <c r="L56" i="3"/>
  <c r="L64" i="3"/>
  <c r="L68" i="3"/>
  <c r="L72" i="3"/>
  <c r="L63" i="3"/>
  <c r="L61" i="3"/>
  <c r="L65" i="3"/>
  <c r="L69" i="3"/>
  <c r="L73" i="3"/>
  <c r="L59" i="3"/>
  <c r="L67" i="3"/>
  <c r="L71" i="3"/>
  <c r="L60" i="3"/>
  <c r="L76" i="3"/>
  <c r="L55" i="3"/>
  <c r="L75" i="3"/>
  <c r="L115" i="3"/>
  <c r="L58" i="3"/>
  <c r="L74" i="3"/>
  <c r="D72" i="7"/>
  <c r="D78" i="7"/>
  <c r="D77" i="7"/>
  <c r="D79" i="7"/>
  <c r="D80" i="7"/>
  <c r="D70" i="7"/>
  <c r="D81" i="7"/>
  <c r="D86" i="7"/>
  <c r="D73" i="7"/>
  <c r="D82" i="7"/>
  <c r="D76" i="7"/>
  <c r="D74" i="7"/>
  <c r="D71" i="7"/>
  <c r="D75" i="7"/>
  <c r="D85" i="7"/>
  <c r="D83" i="7"/>
  <c r="L116" i="3"/>
  <c r="L112" i="3"/>
  <c r="L111" i="3"/>
  <c r="L106" i="3"/>
  <c r="L108" i="3"/>
  <c r="L118" i="3"/>
  <c r="D84" i="7"/>
  <c r="L121" i="3"/>
  <c r="L119" i="3"/>
  <c r="L62" i="3"/>
  <c r="L125" i="3"/>
  <c r="L117" i="3"/>
</calcChain>
</file>

<file path=xl/sharedStrings.xml><?xml version="1.0" encoding="utf-8"?>
<sst xmlns="http://schemas.openxmlformats.org/spreadsheetml/2006/main" count="915" uniqueCount="250">
  <si>
    <t>Šķirnes</t>
  </si>
  <si>
    <t xml:space="preserve">balles </t>
  </si>
  <si>
    <t>slapjo puvi</t>
  </si>
  <si>
    <t>Pseudomonas fluorescens</t>
  </si>
  <si>
    <t>Fusarium solani</t>
  </si>
  <si>
    <t xml:space="preserve">Lakstu infekcija ar </t>
  </si>
  <si>
    <t>balles</t>
  </si>
  <si>
    <t>Cietes saturs, %</t>
  </si>
  <si>
    <t>Preču bumbuļu vidējā masa, g</t>
  </si>
  <si>
    <t>Garšas īpašības, balles</t>
  </si>
  <si>
    <t xml:space="preserve">Veģetācijas periods, dienas </t>
  </si>
  <si>
    <t>Nr.</t>
  </si>
  <si>
    <t xml:space="preserve">Nr. p. k. </t>
  </si>
  <si>
    <t>Alternaria solani</t>
  </si>
  <si>
    <t>Phytophtora infestans</t>
  </si>
  <si>
    <t>%</t>
  </si>
  <si>
    <t xml:space="preserve">Kopraža salīdzinājumā ar standartu  </t>
  </si>
  <si>
    <t>Bumbuļu infekcija ar</t>
  </si>
  <si>
    <t>lakstu puvi</t>
  </si>
  <si>
    <t>sauso puvi</t>
  </si>
  <si>
    <t>lapu sausplankumainību</t>
  </si>
  <si>
    <t>Kopā balles</t>
  </si>
  <si>
    <t xml:space="preserve">Preču bumbuļu raža, % salīdzinot ar standartu 45 dienas pēc sadīgšanas </t>
  </si>
  <si>
    <t xml:space="preserve">Preču bumbuļu raža, % salīdzinot ar standartu 55 dienas pēc sadīgšanas </t>
  </si>
  <si>
    <t xml:space="preserve">Pamatvākuma kopraža salīdzinājumā ar standartu  </t>
  </si>
  <si>
    <t xml:space="preserve">Preču produkcija kopraža  salīdzinājumā ar standartu  </t>
  </si>
  <si>
    <t xml:space="preserve">Pamatvākuma preču produkcija kopraža  salīdzinājumā ar standartu  </t>
  </si>
  <si>
    <t>Cietes saturs</t>
  </si>
  <si>
    <t xml:space="preserve">Nr.p. k. </t>
  </si>
  <si>
    <t>Vidēji</t>
  </si>
  <si>
    <t>Kopējās balles</t>
  </si>
  <si>
    <t>Sausnas raža salīdzinājumā ar st.</t>
  </si>
  <si>
    <t>Proteīns (sausnā) (N% x 6,25)</t>
  </si>
  <si>
    <t>Veģetācijas periods, dienas līdz piengatavībai</t>
  </si>
  <si>
    <t>RG29101</t>
  </si>
  <si>
    <t>RG29102</t>
  </si>
  <si>
    <t>Veģetācijas periods, dienas</t>
  </si>
  <si>
    <t>Catalina st.</t>
  </si>
  <si>
    <t>Excalibur st.</t>
  </si>
  <si>
    <t>Belana</t>
  </si>
  <si>
    <t>Bagira</t>
  </si>
  <si>
    <t>DK Exstorm</t>
  </si>
  <si>
    <t>DK Secure</t>
  </si>
  <si>
    <t>DK Sequoia</t>
  </si>
  <si>
    <t>% no standarta</t>
  </si>
  <si>
    <t xml:space="preserve"> balles </t>
  </si>
  <si>
    <t>Ziemcietība</t>
  </si>
  <si>
    <t>% sausnā</t>
  </si>
  <si>
    <t>Proteīns</t>
  </si>
  <si>
    <t>Veldre,</t>
  </si>
  <si>
    <t>RG40201</t>
  </si>
  <si>
    <t>RG40203</t>
  </si>
  <si>
    <t xml:space="preserve">Augu garums, cm </t>
  </si>
  <si>
    <t>ZAIGA st.</t>
  </si>
  <si>
    <t>Veldre,   balles</t>
  </si>
  <si>
    <t xml:space="preserve">Izvārīšanās </t>
  </si>
  <si>
    <t xml:space="preserve">koeficients </t>
  </si>
  <si>
    <t>Garšas īpašības (mērcētiem), balles</t>
  </si>
  <si>
    <t xml:space="preserve">Auga garums, </t>
  </si>
  <si>
    <t>cm</t>
  </si>
  <si>
    <t>Veģetācija perioda garums</t>
  </si>
  <si>
    <t>dienas</t>
  </si>
  <si>
    <t>Eļļas raža,</t>
  </si>
  <si>
    <t>g</t>
  </si>
  <si>
    <t>1000 sēklu masa,</t>
  </si>
  <si>
    <t>Eļļa sausnā,</t>
  </si>
  <si>
    <t xml:space="preserve">Sēklu raža, </t>
  </si>
  <si>
    <r>
      <t xml:space="preserve"> t ha</t>
    </r>
    <r>
      <rPr>
        <vertAlign val="superscript"/>
        <sz val="10"/>
        <color indexed="8"/>
        <rFont val="Verdana"/>
        <family val="2"/>
      </rPr>
      <t>-1</t>
    </r>
  </si>
  <si>
    <r>
      <t>t ha</t>
    </r>
    <r>
      <rPr>
        <vertAlign val="superscript"/>
        <sz val="10"/>
        <color indexed="8"/>
        <rFont val="Verdana"/>
        <family val="2"/>
      </rPr>
      <t xml:space="preserve">-1 </t>
    </r>
  </si>
  <si>
    <r>
      <t xml:space="preserve">Līnijšķirnes </t>
    </r>
    <r>
      <rPr>
        <sz val="10"/>
        <color indexed="8"/>
        <rFont val="Verdana"/>
        <family val="2"/>
      </rPr>
      <t xml:space="preserve">   </t>
    </r>
  </si>
  <si>
    <t>MH 06 BG 082 (Blog)</t>
  </si>
  <si>
    <t>Hibrīdi</t>
  </si>
  <si>
    <t>Brentano (RG205/22)</t>
  </si>
  <si>
    <t>RG21004 (Puncher)</t>
  </si>
  <si>
    <t>RG29001 (Elmer CL)</t>
  </si>
  <si>
    <t>MH 08A47 (Hifi)</t>
  </si>
  <si>
    <t>MH 07D14 (Habile)</t>
  </si>
  <si>
    <t>DK Imagine (CWH158)</t>
  </si>
  <si>
    <t>CWH190D</t>
  </si>
  <si>
    <t>DK Explicit</t>
  </si>
  <si>
    <t>DK Serenade</t>
  </si>
  <si>
    <t>DK Starlet</t>
  </si>
  <si>
    <t>DK Extrovert</t>
  </si>
  <si>
    <t>DK Sensei</t>
  </si>
  <si>
    <t>CWH194</t>
  </si>
  <si>
    <t>DK Extrain</t>
  </si>
  <si>
    <t>MH 09E4</t>
  </si>
  <si>
    <t>MH 09F50</t>
  </si>
  <si>
    <t xml:space="preserve">Raža, </t>
  </si>
  <si>
    <r>
      <t>g l</t>
    </r>
    <r>
      <rPr>
        <vertAlign val="superscript"/>
        <sz val="10"/>
        <color indexed="8"/>
        <rFont val="Verdana"/>
        <family val="2"/>
      </rPr>
      <t>-1</t>
    </r>
  </si>
  <si>
    <t>Proteīna saturs</t>
  </si>
  <si>
    <t>Lipekļa saturs</t>
  </si>
  <si>
    <r>
      <t>Sedimentācija (</t>
    </r>
    <r>
      <rPr>
        <i/>
        <sz val="10"/>
        <color indexed="8"/>
        <rFont val="Verdana"/>
        <family val="2"/>
      </rPr>
      <t>Zeleny indekss</t>
    </r>
    <r>
      <rPr>
        <sz val="10"/>
        <color indexed="8"/>
        <rFont val="Verdana"/>
        <family val="2"/>
      </rPr>
      <t>)</t>
    </r>
  </si>
  <si>
    <r>
      <t>cm</t>
    </r>
    <r>
      <rPr>
        <vertAlign val="superscript"/>
        <sz val="10"/>
        <color indexed="8"/>
        <rFont val="Verdana"/>
        <family val="2"/>
      </rPr>
      <t>3</t>
    </r>
  </si>
  <si>
    <t>Krišanas skaitlis</t>
  </si>
  <si>
    <t>sek.</t>
  </si>
  <si>
    <t>Olivin, st.</t>
  </si>
  <si>
    <t>Famulus</t>
  </si>
  <si>
    <t>Arktis</t>
  </si>
  <si>
    <t>CH Combin</t>
  </si>
  <si>
    <t>KWS Pius</t>
  </si>
  <si>
    <t>KWS Ozon</t>
  </si>
  <si>
    <t>Sailor</t>
  </si>
  <si>
    <t>NOS 708 - 507</t>
  </si>
  <si>
    <t>KWS Dacanto</t>
  </si>
  <si>
    <t>Artist</t>
  </si>
  <si>
    <t>Etana</t>
  </si>
  <si>
    <t>Xerxes</t>
  </si>
  <si>
    <t>Patras</t>
  </si>
  <si>
    <t>KW 1168-8-08</t>
  </si>
  <si>
    <t>KW 8027-3-08</t>
  </si>
  <si>
    <t>Frontal</t>
  </si>
  <si>
    <t>Skagen</t>
  </si>
  <si>
    <t>Julius</t>
  </si>
  <si>
    <t>Mariboss</t>
  </si>
  <si>
    <t>Viduslatgales profesionālā vidusskola, Izglītības programmu īstenošanas vieta "Višķi"</t>
  </si>
  <si>
    <r>
      <t>Tilpummasa, g l</t>
    </r>
    <r>
      <rPr>
        <vertAlign val="superscript"/>
        <sz val="10"/>
        <color indexed="8"/>
        <rFont val="Verdana"/>
        <family val="2"/>
      </rPr>
      <t>-1</t>
    </r>
  </si>
  <si>
    <t>Valsts Stendes graudaugu selekcijas institūts</t>
  </si>
  <si>
    <t>KWS Magnifico F1</t>
  </si>
  <si>
    <t>Visello F1</t>
  </si>
  <si>
    <t>Valsts Priekuļu laukaugu selekcijas institūts</t>
  </si>
  <si>
    <t>LLU MPS "Vecauce"</t>
  </si>
  <si>
    <t>Remiko (LAD 543/03)</t>
  </si>
  <si>
    <t>Silver Shadow</t>
  </si>
  <si>
    <t>Dodger (RG40101)</t>
  </si>
  <si>
    <t>Swifter (RG40104)</t>
  </si>
  <si>
    <t>RG40301</t>
  </si>
  <si>
    <t>RG40303</t>
  </si>
  <si>
    <t>RG49105 CL</t>
  </si>
  <si>
    <t>DK 71 30 CL</t>
  </si>
  <si>
    <t>DK 71 70 CL</t>
  </si>
  <si>
    <t>SRH6100071</t>
  </si>
  <si>
    <t>SRH6100033</t>
  </si>
  <si>
    <t>SRH6100038</t>
  </si>
  <si>
    <t>SRH6100168</t>
  </si>
  <si>
    <t>KWS Meridian</t>
  </si>
  <si>
    <t>Veģetācijas perioda garums</t>
  </si>
  <si>
    <t>Vinjett</t>
  </si>
  <si>
    <t>KWS Buran</t>
  </si>
  <si>
    <t>SEC 426-01-1b</t>
  </si>
  <si>
    <t>Arabella (Arabeska)</t>
  </si>
  <si>
    <t>Hamlet</t>
  </si>
  <si>
    <t>SEC 426-01-2b</t>
  </si>
  <si>
    <t>SEC 431-01-9</t>
  </si>
  <si>
    <t>Kailgraudu šķirnes</t>
  </si>
  <si>
    <t>Kornēlija</t>
  </si>
  <si>
    <t>Iesala kvalitātes šķirnes</t>
  </si>
  <si>
    <t>Iron</t>
  </si>
  <si>
    <t>Propino</t>
  </si>
  <si>
    <t>Sanette</t>
  </si>
  <si>
    <t>Passenger</t>
  </si>
  <si>
    <t>Evergreen</t>
  </si>
  <si>
    <t>Shaloo</t>
  </si>
  <si>
    <t>KWS Asta</t>
  </si>
  <si>
    <t>Milford</t>
  </si>
  <si>
    <t>NOS 16111-55</t>
  </si>
  <si>
    <t>Laima</t>
  </si>
  <si>
    <t>F 9234</t>
  </si>
  <si>
    <t>Steinar</t>
  </si>
  <si>
    <t>Symphony</t>
  </si>
  <si>
    <t>Plēkšņainība</t>
  </si>
  <si>
    <r>
      <t xml:space="preserve">LLU aģentūra „Zemkopības zinātniskais institūts”, Skrīveru novads  </t>
    </r>
    <r>
      <rPr>
        <sz val="10"/>
        <color indexed="8"/>
        <rFont val="Verdana"/>
        <family val="2"/>
      </rPr>
      <t>LUA agency “Institute of Agriculture Reseach”, district of Skrīveri</t>
    </r>
  </si>
  <si>
    <r>
      <t>Raža,  t ha</t>
    </r>
    <r>
      <rPr>
        <vertAlign val="superscript"/>
        <sz val="10"/>
        <color indexed="8"/>
        <rFont val="Verdana"/>
        <family val="2"/>
      </rPr>
      <t>-1</t>
    </r>
  </si>
  <si>
    <r>
      <t xml:space="preserve">Proteīns, %  </t>
    </r>
    <r>
      <rPr>
        <sz val="10"/>
        <color indexed="8"/>
        <rFont val="Verdana"/>
        <family val="2"/>
      </rPr>
      <t xml:space="preserve"> (N % x 6,25)  </t>
    </r>
  </si>
  <si>
    <t>Casablanca</t>
  </si>
  <si>
    <t>Julia</t>
  </si>
  <si>
    <t>Alexia</t>
  </si>
  <si>
    <t>Severus (KXA0008)</t>
  </si>
  <si>
    <t>DKC 3014</t>
  </si>
  <si>
    <t>EL 3442</t>
  </si>
  <si>
    <t xml:space="preserve"> t ha-1</t>
  </si>
  <si>
    <t>Sausnas raža,</t>
  </si>
  <si>
    <t>Neitrāli skalotā kokšķiedras frakcija (NDF)</t>
  </si>
  <si>
    <t>Skābi skalotā kokšķiedras frakcija (ADF)</t>
  </si>
  <si>
    <t>Sausnas saturs,</t>
  </si>
  <si>
    <r>
      <t>Kukurūza (</t>
    </r>
    <r>
      <rPr>
        <b/>
        <i/>
        <sz val="12"/>
        <color indexed="8"/>
        <rFont val="Verdana"/>
        <family val="2"/>
      </rPr>
      <t>Zea mays</t>
    </r>
    <r>
      <rPr>
        <b/>
        <sz val="12"/>
        <color indexed="8"/>
        <rFont val="Verdana"/>
        <family val="2"/>
      </rPr>
      <t xml:space="preserve"> L.)</t>
    </r>
  </si>
  <si>
    <t>Zaļās masas raža,</t>
  </si>
  <si>
    <t>Augu garums,</t>
  </si>
  <si>
    <t xml:space="preserve"> cm</t>
  </si>
  <si>
    <t>Vālīšu skaits 1 augam,</t>
  </si>
  <si>
    <t xml:space="preserve"> gab. </t>
  </si>
  <si>
    <r>
      <t xml:space="preserve">ZIRŅI  ( </t>
    </r>
    <r>
      <rPr>
        <sz val="10"/>
        <color indexed="8"/>
        <rFont val="Verdana"/>
        <family val="2"/>
      </rPr>
      <t xml:space="preserve">Pisum sativum </t>
    </r>
    <r>
      <rPr>
        <i/>
        <sz val="10"/>
        <color indexed="8"/>
        <rFont val="Verdana"/>
        <family val="2"/>
      </rPr>
      <t>L.)</t>
    </r>
  </si>
  <si>
    <t>Verona</t>
  </si>
  <si>
    <t>Flavia</t>
  </si>
  <si>
    <r>
      <t>Kartupeļi (</t>
    </r>
    <r>
      <rPr>
        <i/>
        <sz val="10"/>
        <color indexed="8"/>
        <rFont val="Verdana"/>
        <family val="2"/>
      </rPr>
      <t xml:space="preserve">Solanum tuberosum L. )               </t>
    </r>
  </si>
  <si>
    <r>
      <t xml:space="preserve">Agrīnās šķirnes </t>
    </r>
    <r>
      <rPr>
        <sz val="10"/>
        <color indexed="8"/>
        <rFont val="Verdana"/>
        <family val="2"/>
      </rPr>
      <t xml:space="preserve">     </t>
    </r>
  </si>
  <si>
    <r>
      <t>Bumbuļu raža,  t ha</t>
    </r>
    <r>
      <rPr>
        <vertAlign val="superscript"/>
        <sz val="10"/>
        <color indexed="8"/>
        <rFont val="Verdana"/>
        <family val="2"/>
      </rPr>
      <t xml:space="preserve">-1   </t>
    </r>
    <r>
      <rPr>
        <sz val="10"/>
        <color indexed="8"/>
        <rFont val="Verdana"/>
        <family val="2"/>
      </rPr>
      <t xml:space="preserve"> 45 dienas pēc sadīgšanas </t>
    </r>
  </si>
  <si>
    <r>
      <t>Preču produkcija, t ha</t>
    </r>
    <r>
      <rPr>
        <vertAlign val="superscript"/>
        <sz val="10"/>
        <color indexed="8"/>
        <rFont val="Verdana"/>
        <family val="2"/>
      </rPr>
      <t>-1</t>
    </r>
    <r>
      <rPr>
        <sz val="10"/>
        <color indexed="8"/>
        <rFont val="Verdana"/>
        <family val="2"/>
      </rPr>
      <t xml:space="preserve"> 45 dienas pēc sadīgšanas </t>
    </r>
  </si>
  <si>
    <r>
      <t>Bumbuļu raža,  t ha</t>
    </r>
    <r>
      <rPr>
        <vertAlign val="superscript"/>
        <sz val="10"/>
        <color indexed="8"/>
        <rFont val="Verdana"/>
        <family val="2"/>
      </rPr>
      <t xml:space="preserve">-1   </t>
    </r>
    <r>
      <rPr>
        <sz val="10"/>
        <color indexed="8"/>
        <rFont val="Verdana"/>
        <family val="2"/>
      </rPr>
      <t xml:space="preserve"> 55 dienas pēc sadīgšanas </t>
    </r>
  </si>
  <si>
    <r>
      <t>Preču produkcija, t ha</t>
    </r>
    <r>
      <rPr>
        <vertAlign val="superscript"/>
        <sz val="10"/>
        <color indexed="8"/>
        <rFont val="Verdana"/>
        <family val="2"/>
      </rPr>
      <t>-1</t>
    </r>
    <r>
      <rPr>
        <sz val="10"/>
        <color indexed="8"/>
        <rFont val="Verdana"/>
        <family val="2"/>
      </rPr>
      <t xml:space="preserve"> 55 dienas pēc sadīgšanas </t>
    </r>
  </si>
  <si>
    <r>
      <t xml:space="preserve">Pamatvākuma kopraža, t ha </t>
    </r>
    <r>
      <rPr>
        <vertAlign val="superscript"/>
        <sz val="10"/>
        <color indexed="8"/>
        <rFont val="Verdana"/>
        <family val="2"/>
      </rPr>
      <t>-1</t>
    </r>
  </si>
  <si>
    <r>
      <t xml:space="preserve">Pamatvākuma preču produkcijas raža, t ha </t>
    </r>
    <r>
      <rPr>
        <vertAlign val="superscript"/>
        <sz val="10"/>
        <color indexed="8"/>
        <rFont val="Verdana"/>
        <family val="2"/>
      </rPr>
      <t>-1</t>
    </r>
  </si>
  <si>
    <r>
      <t xml:space="preserve">Vidēji agrīnās šķirnes </t>
    </r>
    <r>
      <rPr>
        <sz val="10"/>
        <color indexed="8"/>
        <rFont val="Verdana"/>
        <family val="2"/>
      </rPr>
      <t xml:space="preserve">     </t>
    </r>
  </si>
  <si>
    <r>
      <t>Kopraža, t ha</t>
    </r>
    <r>
      <rPr>
        <vertAlign val="superscript"/>
        <sz val="10"/>
        <color indexed="8"/>
        <rFont val="Verdana"/>
        <family val="2"/>
      </rPr>
      <t>-1</t>
    </r>
  </si>
  <si>
    <r>
      <t>Preču produkcija kopražā ,  t ha</t>
    </r>
    <r>
      <rPr>
        <vertAlign val="superscript"/>
        <sz val="10"/>
        <color indexed="8"/>
        <rFont val="Verdana"/>
        <family val="2"/>
      </rPr>
      <t>-1</t>
    </r>
    <r>
      <rPr>
        <sz val="10"/>
        <color indexed="8"/>
        <rFont val="Verdana"/>
        <family val="2"/>
      </rPr>
      <t xml:space="preserve"> </t>
    </r>
  </si>
  <si>
    <t>Princess</t>
  </si>
  <si>
    <t>Campina</t>
  </si>
  <si>
    <t>Toscana</t>
  </si>
  <si>
    <t>Valsts Priekuļu lauksaugu selekcijas institūts</t>
  </si>
  <si>
    <t xml:space="preserve">Vidēji </t>
  </si>
  <si>
    <t>Sausnas saturs, %</t>
  </si>
  <si>
    <r>
      <t>Ziemas rudzi  (</t>
    </r>
    <r>
      <rPr>
        <b/>
        <i/>
        <sz val="12"/>
        <color indexed="8"/>
        <rFont val="Verdana"/>
        <family val="2"/>
      </rPr>
      <t>Secale cereale L</t>
    </r>
    <r>
      <rPr>
        <b/>
        <sz val="12"/>
        <color indexed="8"/>
        <rFont val="Verdana"/>
        <family val="2"/>
      </rPr>
      <t>.</t>
    </r>
    <r>
      <rPr>
        <b/>
        <sz val="12"/>
        <color indexed="8"/>
        <rFont val="Verdana"/>
        <family val="2"/>
      </rPr>
      <t>)</t>
    </r>
    <r>
      <rPr>
        <i/>
        <sz val="12"/>
        <color indexed="8"/>
        <rFont val="Verdana"/>
        <family val="2"/>
      </rPr>
      <t xml:space="preserve"> Hibrīdi</t>
    </r>
  </si>
  <si>
    <r>
      <t>Ziemas mieži  (</t>
    </r>
    <r>
      <rPr>
        <b/>
        <i/>
        <sz val="12"/>
        <color indexed="8"/>
        <rFont val="Verdana"/>
        <family val="2"/>
      </rPr>
      <t>Hordeum vulgare L.</t>
    </r>
    <r>
      <rPr>
        <b/>
        <sz val="12"/>
        <color indexed="8"/>
        <rFont val="Verdana"/>
        <family val="2"/>
      </rPr>
      <t>)</t>
    </r>
    <r>
      <rPr>
        <i/>
        <sz val="12"/>
        <color indexed="8"/>
        <rFont val="Verdana"/>
        <family val="2"/>
      </rPr>
      <t xml:space="preserve"> </t>
    </r>
  </si>
  <si>
    <r>
      <t>Ziemas kvieši (</t>
    </r>
    <r>
      <rPr>
        <b/>
        <i/>
        <sz val="12"/>
        <color indexed="8"/>
        <rFont val="Verdana"/>
        <family val="2"/>
      </rPr>
      <t>Triticum aestivum L.</t>
    </r>
    <r>
      <rPr>
        <b/>
        <sz val="12"/>
        <color indexed="8"/>
        <rFont val="Verdana"/>
        <family val="2"/>
      </rPr>
      <t>)</t>
    </r>
  </si>
  <si>
    <r>
      <t>Ziemas rapsis (</t>
    </r>
    <r>
      <rPr>
        <b/>
        <i/>
        <sz val="12"/>
        <color indexed="8"/>
        <rFont val="Verdana"/>
        <family val="2"/>
      </rPr>
      <t>Brassica napus L.)</t>
    </r>
  </si>
  <si>
    <r>
      <t>Vasaras kvieši (</t>
    </r>
    <r>
      <rPr>
        <b/>
        <i/>
        <sz val="12"/>
        <color indexed="8"/>
        <rFont val="Verdana"/>
        <family val="2"/>
      </rPr>
      <t>Triticum aestivum L.</t>
    </r>
    <r>
      <rPr>
        <b/>
        <sz val="12"/>
        <color indexed="8"/>
        <rFont val="Verdana"/>
        <family val="2"/>
      </rPr>
      <t>)</t>
    </r>
  </si>
  <si>
    <r>
      <t>Vasaras mieži  (</t>
    </r>
    <r>
      <rPr>
        <b/>
        <i/>
        <sz val="12"/>
        <color indexed="8"/>
        <rFont val="Verdana"/>
        <family val="2"/>
      </rPr>
      <t>Hordeum vulgare L.</t>
    </r>
    <r>
      <rPr>
        <b/>
        <sz val="12"/>
        <color indexed="8"/>
        <rFont val="Verdana"/>
        <family val="2"/>
      </rPr>
      <t>)</t>
    </r>
    <r>
      <rPr>
        <i/>
        <sz val="12"/>
        <color indexed="8"/>
        <rFont val="Verdana"/>
        <family val="2"/>
      </rPr>
      <t xml:space="preserve"> </t>
    </r>
  </si>
  <si>
    <r>
      <t>Auzas (</t>
    </r>
    <r>
      <rPr>
        <b/>
        <i/>
        <sz val="12"/>
        <color indexed="8"/>
        <rFont val="Verdana"/>
        <family val="2"/>
      </rPr>
      <t>Avena sativa L.</t>
    </r>
    <r>
      <rPr>
        <b/>
        <sz val="12"/>
        <color indexed="8"/>
        <rFont val="Verdana"/>
        <family val="2"/>
      </rPr>
      <t>)</t>
    </r>
  </si>
  <si>
    <r>
      <t>Vasaras rapsis (</t>
    </r>
    <r>
      <rPr>
        <b/>
        <i/>
        <sz val="12"/>
        <color indexed="8"/>
        <rFont val="Verdana"/>
        <family val="2"/>
      </rPr>
      <t>Brassica napus L.)</t>
    </r>
  </si>
  <si>
    <t>Lauka pupas</t>
  </si>
  <si>
    <t>Veldre</t>
  </si>
  <si>
    <t xml:space="preserve">Raža </t>
  </si>
  <si>
    <t>1000 graudu masa</t>
  </si>
  <si>
    <t>Tauku saturs</t>
  </si>
  <si>
    <t>Auga garums</t>
  </si>
  <si>
    <t xml:space="preserve">Tilpummasa </t>
  </si>
  <si>
    <t>LLU aģentūra „Zemkopības zinātniskais institūts”</t>
  </si>
  <si>
    <t>Saimniecisko īpašību novērtēšanas rezultāti  2013.gadā</t>
  </si>
  <si>
    <t>* Kritēriju ņem vērā tikai šķirņu saimnieciskās novērtēšanas šķirnes piemērotībai bioloģiskajā laiksaimniecībā</t>
  </si>
  <si>
    <t>* Veldre</t>
  </si>
  <si>
    <t>Saimniecisko īpašību novērtēšanas rezultāti 2013.gadā.</t>
  </si>
  <si>
    <t>LLU mācību un pētījumu saimniecība „Pēterlauki”</t>
  </si>
  <si>
    <t>Lenora,st.</t>
  </si>
  <si>
    <t xml:space="preserve">Lenora, st. </t>
  </si>
  <si>
    <t>Arielle, st.</t>
  </si>
  <si>
    <t xml:space="preserve">Konsensus, st. </t>
  </si>
  <si>
    <t>Saimniecisko īpašību novērtēšanas rezultāti 2013.gadā</t>
  </si>
  <si>
    <r>
      <t xml:space="preserve">Ziemas tritikāle  (x </t>
    </r>
    <r>
      <rPr>
        <b/>
        <i/>
        <sz val="12"/>
        <color indexed="8"/>
        <rFont val="Verdana"/>
        <family val="2"/>
      </rPr>
      <t>Triticosecale Wittm. ex A.Camus</t>
    </r>
    <r>
      <rPr>
        <b/>
        <sz val="12"/>
        <color indexed="8"/>
        <rFont val="Verdana"/>
        <family val="2"/>
      </rPr>
      <t>)</t>
    </r>
    <r>
      <rPr>
        <i/>
        <sz val="12"/>
        <color indexed="8"/>
        <rFont val="Verdana"/>
        <family val="2"/>
      </rPr>
      <t xml:space="preserve"> </t>
    </r>
  </si>
  <si>
    <t xml:space="preserve">Auga garums </t>
  </si>
  <si>
    <t xml:space="preserve">Augu garums </t>
  </si>
  <si>
    <t>SW Falmoro, st.</t>
  </si>
  <si>
    <t>Augu garums</t>
  </si>
  <si>
    <t>Picasso F1, st.</t>
  </si>
  <si>
    <t>*Veldre</t>
  </si>
  <si>
    <t>LLU Mācību pētījumu saimniecība "Pēterlauki"</t>
  </si>
  <si>
    <t>Cinderella, st.</t>
  </si>
  <si>
    <t>Tilpummasa</t>
  </si>
  <si>
    <t>Raža</t>
  </si>
  <si>
    <t>Eļļa sausnā</t>
  </si>
  <si>
    <t>Eļļas raža</t>
  </si>
  <si>
    <t>1000 sēklu masa</t>
  </si>
  <si>
    <t>Sēklu raža</t>
  </si>
  <si>
    <t xml:space="preserve">Augu garums, </t>
  </si>
  <si>
    <t>Irbe, st.</t>
  </si>
  <si>
    <t>Ansis, st.</t>
  </si>
  <si>
    <t>Ability, st.</t>
  </si>
  <si>
    <t>Jerry, st.</t>
  </si>
  <si>
    <t xml:space="preserve">Baltziedu šķirnes </t>
  </si>
  <si>
    <t xml:space="preserve">1000 sēklu masa </t>
  </si>
  <si>
    <t>(Vicia faba 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</si>
</sst>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0.0"/>
  </numFmts>
  <fonts count="3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color indexed="8"/>
      <name val="Verdana"/>
      <family val="2"/>
    </font>
    <font>
      <i/>
      <sz val="12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Verdana"/>
      <family val="2"/>
    </font>
    <font>
      <vertAlign val="superscript"/>
      <sz val="10"/>
      <color indexed="8"/>
      <name val="Verdana"/>
      <family val="2"/>
    </font>
    <font>
      <vertAlign val="superscript"/>
      <sz val="10"/>
      <color indexed="8"/>
      <name val="Verdana"/>
      <family val="2"/>
    </font>
    <font>
      <i/>
      <sz val="10"/>
      <color indexed="8"/>
      <name val="Verdana"/>
      <family val="2"/>
    </font>
    <font>
      <sz val="12"/>
      <color indexed="8"/>
      <name val="Verdana"/>
      <family val="2"/>
    </font>
    <font>
      <b/>
      <i/>
      <sz val="12"/>
      <color indexed="8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trike/>
      <sz val="10"/>
      <name val="Verdana"/>
      <family val="2"/>
    </font>
    <font>
      <vertAlign val="superscript"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36"/>
      <name val="Verdana"/>
      <family val="2"/>
    </font>
    <font>
      <b/>
      <sz val="10"/>
      <color indexed="36"/>
      <name val="Verdana"/>
      <family val="2"/>
    </font>
    <font>
      <i/>
      <sz val="10"/>
      <color indexed="8"/>
      <name val="Verdana"/>
      <family val="2"/>
    </font>
    <font>
      <sz val="10"/>
      <color indexed="20"/>
      <name val="Verdana"/>
      <family val="2"/>
    </font>
    <font>
      <b/>
      <i/>
      <sz val="10"/>
      <color indexed="8"/>
      <name val="Verdana"/>
      <family val="2"/>
    </font>
    <font>
      <sz val="10"/>
      <color indexed="40"/>
      <name val="Verdana"/>
      <family val="2"/>
    </font>
    <font>
      <b/>
      <sz val="10"/>
      <color indexed="40"/>
      <name val="Verdana"/>
      <family val="2"/>
    </font>
    <font>
      <i/>
      <sz val="10"/>
      <color indexed="36"/>
      <name val="Verdana"/>
      <family val="2"/>
    </font>
    <font>
      <b/>
      <i/>
      <sz val="10"/>
      <color indexed="36"/>
      <name val="Verdana"/>
      <family val="2"/>
    </font>
    <font>
      <b/>
      <sz val="16"/>
      <color indexed="8"/>
      <name val="Verdana"/>
      <family val="2"/>
    </font>
    <font>
      <sz val="10"/>
      <color indexed="8"/>
      <name val="Verdana"/>
      <family val="2"/>
      <charset val="186"/>
    </font>
    <font>
      <sz val="11"/>
      <color indexed="8"/>
      <name val="Verdana"/>
      <family val="2"/>
      <charset val="186"/>
    </font>
    <font>
      <sz val="12"/>
      <color indexed="8"/>
      <name val="Times New Roman"/>
      <family val="1"/>
      <charset val="186"/>
    </font>
    <font>
      <sz val="10"/>
      <name val="Verdana"/>
      <family val="2"/>
      <charset val="186"/>
    </font>
    <font>
      <sz val="12"/>
      <color indexed="8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4">
    <xf numFmtId="0" fontId="0" fillId="0" borderId="0" xfId="0"/>
    <xf numFmtId="0" fontId="16" fillId="0" borderId="0" xfId="0" applyFont="1" applyAlignment="1">
      <alignment vertic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1" fontId="19" fillId="0" borderId="0" xfId="0" applyNumberFormat="1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184" fontId="19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2" borderId="0" xfId="0" applyFont="1" applyFill="1" applyBorder="1" applyAlignment="1">
      <alignment horizontal="center" vertical="center" wrapText="1"/>
    </xf>
    <xf numFmtId="184" fontId="19" fillId="0" borderId="0" xfId="0" applyNumberFormat="1" applyFont="1" applyBorder="1" applyAlignment="1">
      <alignment horizontal="center" vertical="center" wrapText="1"/>
    </xf>
    <xf numFmtId="0" fontId="21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1" fillId="0" borderId="0" xfId="1" applyFont="1" applyBorder="1" applyAlignment="1">
      <alignment horizontal="center" wrapText="1"/>
    </xf>
    <xf numFmtId="0" fontId="19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1" fillId="0" borderId="0" xfId="1" applyFont="1" applyBorder="1" applyAlignment="1">
      <alignment wrapText="1"/>
    </xf>
    <xf numFmtId="0" fontId="11" fillId="0" borderId="0" xfId="1" applyFont="1" applyBorder="1"/>
    <xf numFmtId="0" fontId="18" fillId="0" borderId="0" xfId="0" applyFont="1" applyBorder="1"/>
    <xf numFmtId="0" fontId="11" fillId="0" borderId="3" xfId="1" applyFont="1" applyBorder="1" applyAlignment="1"/>
    <xf numFmtId="0" fontId="11" fillId="0" borderId="4" xfId="1" applyFont="1" applyBorder="1"/>
    <xf numFmtId="0" fontId="11" fillId="0" borderId="0" xfId="1" applyFont="1" applyFill="1" applyBorder="1"/>
    <xf numFmtId="0" fontId="12" fillId="0" borderId="0" xfId="1" applyFont="1" applyBorder="1" applyAlignment="1">
      <alignment wrapText="1"/>
    </xf>
    <xf numFmtId="0" fontId="12" fillId="0" borderId="0" xfId="1" applyFont="1" applyBorder="1" applyAlignment="1">
      <alignment horizontal="center" wrapText="1"/>
    </xf>
    <xf numFmtId="1" fontId="9" fillId="0" borderId="0" xfId="1" applyNumberFormat="1" applyFont="1" applyFill="1" applyBorder="1" applyAlignment="1">
      <alignment horizontal="center" wrapText="1"/>
    </xf>
    <xf numFmtId="1" fontId="9" fillId="0" borderId="0" xfId="1" applyNumberFormat="1" applyFont="1" applyFill="1" applyBorder="1" applyAlignment="1">
      <alignment wrapText="1"/>
    </xf>
    <xf numFmtId="0" fontId="11" fillId="0" borderId="1" xfId="1" applyFont="1" applyBorder="1" applyAlignment="1">
      <alignment horizontal="center" wrapText="1"/>
    </xf>
    <xf numFmtId="0" fontId="11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2" fontId="4" fillId="0" borderId="1" xfId="1" applyNumberFormat="1" applyFont="1" applyFill="1" applyBorder="1" applyAlignment="1">
      <alignment horizontal="center" wrapText="1"/>
    </xf>
    <xf numFmtId="1" fontId="4" fillId="0" borderId="1" xfId="1" applyNumberFormat="1" applyFont="1" applyFill="1" applyBorder="1" applyAlignment="1">
      <alignment horizontal="center" wrapText="1"/>
    </xf>
    <xf numFmtId="2" fontId="11" fillId="0" borderId="1" xfId="1" applyNumberFormat="1" applyFont="1" applyFill="1" applyBorder="1" applyAlignment="1" applyProtection="1">
      <alignment horizontal="center" vertical="center"/>
    </xf>
    <xf numFmtId="184" fontId="11" fillId="0" borderId="1" xfId="1" applyNumberFormat="1" applyFont="1" applyFill="1" applyBorder="1" applyAlignment="1">
      <alignment horizontal="center" wrapText="1"/>
    </xf>
    <xf numFmtId="0" fontId="19" fillId="0" borderId="0" xfId="0" applyFont="1" applyFill="1"/>
    <xf numFmtId="0" fontId="4" fillId="0" borderId="1" xfId="1" applyFont="1" applyBorder="1" applyAlignment="1">
      <alignment vertical="top" wrapText="1"/>
    </xf>
    <xf numFmtId="2" fontId="4" fillId="0" borderId="1" xfId="1" applyNumberFormat="1" applyFont="1" applyBorder="1" applyAlignment="1">
      <alignment horizontal="center" vertical="top" wrapText="1"/>
    </xf>
    <xf numFmtId="184" fontId="11" fillId="0" borderId="1" xfId="1" applyNumberFormat="1" applyFont="1" applyBorder="1" applyAlignment="1">
      <alignment horizontal="center" wrapText="1"/>
    </xf>
    <xf numFmtId="0" fontId="11" fillId="0" borderId="1" xfId="1" applyFont="1" applyBorder="1"/>
    <xf numFmtId="2" fontId="11" fillId="0" borderId="1" xfId="1" applyNumberFormat="1" applyFont="1" applyBorder="1" applyAlignment="1">
      <alignment horizontal="center"/>
    </xf>
    <xf numFmtId="0" fontId="13" fillId="0" borderId="3" xfId="1" applyFont="1" applyBorder="1" applyAlignment="1"/>
    <xf numFmtId="0" fontId="11" fillId="0" borderId="0" xfId="1" applyFont="1" applyFill="1" applyBorder="1" applyAlignment="1">
      <alignment horizontal="center" wrapText="1"/>
    </xf>
    <xf numFmtId="0" fontId="11" fillId="0" borderId="0" xfId="1" applyFont="1" applyBorder="1" applyAlignment="1">
      <alignment vertical="top" wrapText="1"/>
    </xf>
    <xf numFmtId="0" fontId="11" fillId="0" borderId="0" xfId="1" applyFont="1" applyBorder="1" applyAlignment="1">
      <alignment horizontal="center" vertical="top" wrapText="1"/>
    </xf>
    <xf numFmtId="1" fontId="4" fillId="0" borderId="0" xfId="1" applyNumberFormat="1" applyFont="1" applyFill="1" applyBorder="1" applyAlignment="1">
      <alignment horizontal="center" wrapText="1"/>
    </xf>
    <xf numFmtId="1" fontId="4" fillId="0" borderId="0" xfId="1" applyNumberFormat="1" applyFont="1" applyFill="1" applyBorder="1" applyAlignment="1">
      <alignment wrapText="1"/>
    </xf>
    <xf numFmtId="0" fontId="19" fillId="0" borderId="0" xfId="0" applyFont="1" applyBorder="1"/>
    <xf numFmtId="0" fontId="4" fillId="0" borderId="1" xfId="1" applyFont="1" applyFill="1" applyBorder="1" applyAlignment="1">
      <alignment horizontal="center" wrapText="1"/>
    </xf>
    <xf numFmtId="0" fontId="13" fillId="0" borderId="0" xfId="1" applyFont="1" applyBorder="1"/>
    <xf numFmtId="0" fontId="11" fillId="0" borderId="0" xfId="1" applyFont="1" applyBorder="1" applyAlignment="1">
      <alignment horizontal="center"/>
    </xf>
    <xf numFmtId="0" fontId="11" fillId="0" borderId="4" xfId="1" applyFont="1" applyBorder="1" applyAlignment="1"/>
    <xf numFmtId="0" fontId="11" fillId="0" borderId="5" xfId="1" applyFont="1" applyBorder="1" applyAlignment="1"/>
    <xf numFmtId="0" fontId="11" fillId="0" borderId="5" xfId="1" applyFont="1" applyBorder="1" applyAlignment="1">
      <alignment horizontal="center"/>
    </xf>
    <xf numFmtId="1" fontId="4" fillId="0" borderId="5" xfId="1" applyNumberFormat="1" applyFont="1" applyFill="1" applyBorder="1" applyAlignment="1">
      <alignment horizontal="center" wrapText="1"/>
    </xf>
    <xf numFmtId="1" fontId="4" fillId="0" borderId="5" xfId="1" applyNumberFormat="1" applyFont="1" applyFill="1" applyBorder="1" applyAlignment="1">
      <alignment wrapText="1"/>
    </xf>
    <xf numFmtId="0" fontId="11" fillId="0" borderId="5" xfId="1" applyFont="1" applyBorder="1"/>
    <xf numFmtId="2" fontId="11" fillId="0" borderId="1" xfId="1" applyNumberFormat="1" applyFont="1" applyFill="1" applyBorder="1" applyAlignment="1">
      <alignment horizontal="center" vertical="center"/>
    </xf>
    <xf numFmtId="2" fontId="11" fillId="0" borderId="1" xfId="1" applyNumberFormat="1" applyFont="1" applyBorder="1" applyAlignment="1">
      <alignment horizontal="center" vertical="center"/>
    </xf>
    <xf numFmtId="184" fontId="11" fillId="0" borderId="1" xfId="1" applyNumberFormat="1" applyFont="1" applyFill="1" applyBorder="1" applyAlignment="1">
      <alignment horizontal="center" vertical="center" wrapText="1"/>
    </xf>
    <xf numFmtId="184" fontId="11" fillId="0" borderId="1" xfId="1" applyNumberFormat="1" applyFont="1" applyBorder="1" applyAlignment="1">
      <alignment horizontal="center" vertical="center" wrapText="1"/>
    </xf>
    <xf numFmtId="184" fontId="4" fillId="0" borderId="1" xfId="1" applyNumberFormat="1" applyFont="1" applyFill="1" applyBorder="1" applyAlignment="1">
      <alignment horizont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/>
    <xf numFmtId="0" fontId="11" fillId="0" borderId="0" xfId="0" applyFont="1" applyFill="1" applyBorder="1"/>
    <xf numFmtId="0" fontId="24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justify" vertical="center"/>
    </xf>
    <xf numFmtId="0" fontId="19" fillId="0" borderId="0" xfId="0" applyFont="1" applyFill="1" applyBorder="1" applyAlignment="1">
      <alignment horizontal="left" vertical="center" indent="2"/>
    </xf>
    <xf numFmtId="0" fontId="20" fillId="0" borderId="0" xfId="0" applyFont="1" applyFill="1" applyBorder="1" applyAlignment="1">
      <alignment horizontal="left" vertical="center" indent="2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indent="2"/>
    </xf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justify" vertical="center"/>
    </xf>
    <xf numFmtId="0" fontId="29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indent="2"/>
    </xf>
    <xf numFmtId="0" fontId="2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16" fontId="19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/>
    <xf numFmtId="2" fontId="19" fillId="0" borderId="1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84" fontId="19" fillId="0" borderId="1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/>
    </xf>
    <xf numFmtId="184" fontId="19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0" fillId="0" borderId="0" xfId="0" applyFont="1"/>
    <xf numFmtId="0" fontId="20" fillId="0" borderId="6" xfId="0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" fontId="32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left" indent="2"/>
    </xf>
    <xf numFmtId="0" fontId="18" fillId="0" borderId="0" xfId="0" applyFont="1" applyAlignment="1">
      <alignment wrapText="1"/>
    </xf>
    <xf numFmtId="0" fontId="32" fillId="0" borderId="0" xfId="0" applyFont="1"/>
    <xf numFmtId="0" fontId="32" fillId="0" borderId="1" xfId="0" applyFont="1" applyBorder="1" applyAlignment="1">
      <alignment horizontal="center"/>
    </xf>
    <xf numFmtId="0" fontId="32" fillId="0" borderId="0" xfId="0" applyFont="1" applyBorder="1"/>
    <xf numFmtId="0" fontId="35" fillId="0" borderId="0" xfId="1" applyFont="1" applyBorder="1" applyAlignment="1">
      <alignment wrapText="1"/>
    </xf>
    <xf numFmtId="0" fontId="35" fillId="0" borderId="3" xfId="1" applyFont="1" applyBorder="1" applyAlignment="1"/>
    <xf numFmtId="1" fontId="32" fillId="0" borderId="1" xfId="1" applyNumberFormat="1" applyFont="1" applyFill="1" applyBorder="1" applyAlignment="1">
      <alignment horizontal="center" wrapText="1"/>
    </xf>
    <xf numFmtId="1" fontId="36" fillId="0" borderId="0" xfId="1" applyNumberFormat="1" applyFont="1" applyFill="1" applyBorder="1" applyAlignment="1">
      <alignment horizontal="center" wrapText="1"/>
    </xf>
    <xf numFmtId="1" fontId="32" fillId="0" borderId="5" xfId="1" applyNumberFormat="1" applyFont="1" applyFill="1" applyBorder="1" applyAlignment="1">
      <alignment horizontal="center" wrapText="1"/>
    </xf>
    <xf numFmtId="1" fontId="32" fillId="0" borderId="0" xfId="1" applyNumberFormat="1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1" fontId="32" fillId="0" borderId="0" xfId="0" applyNumberFormat="1" applyFont="1" applyFill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/>
    </xf>
    <xf numFmtId="1" fontId="33" fillId="0" borderId="0" xfId="0" applyNumberFormat="1" applyFont="1"/>
    <xf numFmtId="0" fontId="19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19" fillId="0" borderId="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9" fillId="0" borderId="13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1" fillId="0" borderId="0" xfId="1" applyFont="1" applyBorder="1" applyAlignment="1">
      <alignment vertical="top" wrapText="1"/>
    </xf>
    <xf numFmtId="0" fontId="11" fillId="0" borderId="1" xfId="1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2" fillId="0" borderId="0" xfId="1" applyFont="1" applyBorder="1" applyAlignment="1">
      <alignment wrapText="1"/>
    </xf>
    <xf numFmtId="0" fontId="14" fillId="0" borderId="1" xfId="1" applyFont="1" applyBorder="1" applyAlignment="1">
      <alignment horizontal="center" wrapText="1"/>
    </xf>
    <xf numFmtId="0" fontId="11" fillId="0" borderId="0" xfId="1" applyFont="1" applyBorder="1" applyAlignment="1">
      <alignment horizontal="center" wrapText="1"/>
    </xf>
    <xf numFmtId="0" fontId="35" fillId="0" borderId="1" xfId="1" applyFont="1" applyBorder="1" applyAlignment="1">
      <alignment horizontal="center" wrapText="1"/>
    </xf>
    <xf numFmtId="0" fontId="11" fillId="0" borderId="8" xfId="1" applyFont="1" applyBorder="1" applyAlignment="1">
      <alignment horizontal="center" wrapText="1"/>
    </xf>
    <xf numFmtId="0" fontId="11" fillId="0" borderId="2" xfId="1" applyFont="1" applyBorder="1" applyAlignment="1">
      <alignment horizontal="center" wrapText="1"/>
    </xf>
    <xf numFmtId="0" fontId="11" fillId="0" borderId="3" xfId="1" applyFont="1" applyBorder="1" applyAlignment="1">
      <alignment horizontal="center" wrapText="1"/>
    </xf>
    <xf numFmtId="0" fontId="32" fillId="0" borderId="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</cellXfs>
  <cellStyles count="2">
    <cellStyle name="Normal 2" xfId="1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769"/>
  <sheetViews>
    <sheetView tabSelected="1" workbookViewId="0">
      <selection activeCell="B22" sqref="B22"/>
    </sheetView>
  </sheetViews>
  <sheetFormatPr defaultRowHeight="12.75" x14ac:dyDescent="0.2"/>
  <cols>
    <col min="1" max="1" width="4.5703125" style="4" customWidth="1"/>
    <col min="2" max="2" width="13.85546875" style="4" customWidth="1"/>
    <col min="3" max="3" width="16.85546875" style="4" customWidth="1"/>
    <col min="4" max="4" width="13.140625" style="4" customWidth="1"/>
    <col min="5" max="5" width="12.28515625" style="4" customWidth="1"/>
    <col min="6" max="6" width="17.140625" style="4" customWidth="1"/>
    <col min="7" max="7" width="14.5703125" style="4" customWidth="1"/>
    <col min="8" max="8" width="11.7109375" style="4" customWidth="1"/>
    <col min="9" max="9" width="12.140625" style="4" customWidth="1"/>
    <col min="10" max="10" width="9.7109375" style="4" customWidth="1"/>
    <col min="11" max="11" width="12.28515625" style="4" customWidth="1"/>
    <col min="12" max="12" width="11" style="4" customWidth="1"/>
    <col min="13" max="13" width="12.42578125" style="4" customWidth="1"/>
    <col min="14" max="14" width="13.28515625" style="4" customWidth="1"/>
    <col min="15" max="16" width="10" style="4" customWidth="1"/>
    <col min="17" max="17" width="11.140625" style="4" customWidth="1"/>
    <col min="18" max="18" width="10.5703125" style="4" customWidth="1"/>
    <col min="19" max="19" width="10.85546875" style="4" customWidth="1"/>
    <col min="20" max="20" width="9.28515625" style="4" customWidth="1"/>
    <col min="21" max="21" width="11.7109375" style="4" customWidth="1"/>
    <col min="22" max="24" width="9.140625" style="4"/>
    <col min="25" max="25" width="10.7109375" style="4" customWidth="1"/>
    <col min="26" max="26" width="12.140625" style="4" customWidth="1"/>
    <col min="27" max="27" width="9.28515625" style="4" customWidth="1"/>
    <col min="28" max="28" width="10.5703125" style="4" customWidth="1"/>
    <col min="29" max="16384" width="9.140625" style="4"/>
  </cols>
  <sheetData>
    <row r="2" spans="1:25" ht="14.25" x14ac:dyDescent="0.2">
      <c r="A2" s="5"/>
      <c r="B2" s="5"/>
      <c r="C2" s="5"/>
      <c r="D2" s="130" t="s">
        <v>220</v>
      </c>
      <c r="E2" s="5"/>
      <c r="F2" s="5"/>
      <c r="G2" s="5"/>
      <c r="I2" s="5"/>
      <c r="J2" s="5"/>
      <c r="K2" s="5"/>
      <c r="L2" s="5"/>
    </row>
    <row r="3" spans="1:25" x14ac:dyDescent="0.2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25" x14ac:dyDescent="0.2">
      <c r="A4" s="5" t="s">
        <v>184</v>
      </c>
      <c r="E4" s="7"/>
      <c r="F4" s="7"/>
      <c r="G4" s="84"/>
      <c r="H4" s="7"/>
      <c r="I4" s="84"/>
      <c r="J4" s="7"/>
      <c r="K4" s="57"/>
      <c r="L4" s="57"/>
      <c r="M4" s="57"/>
      <c r="N4" s="57"/>
    </row>
    <row r="5" spans="1:25" x14ac:dyDescent="0.2">
      <c r="A5" s="5" t="s">
        <v>192</v>
      </c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25" ht="16.5" customHeight="1" x14ac:dyDescent="0.2">
      <c r="A6" s="152" t="s">
        <v>12</v>
      </c>
      <c r="B6" s="152" t="s">
        <v>0</v>
      </c>
      <c r="C6" s="152" t="s">
        <v>193</v>
      </c>
      <c r="D6" s="152" t="s">
        <v>16</v>
      </c>
      <c r="E6" s="152"/>
      <c r="F6" s="152" t="s">
        <v>194</v>
      </c>
      <c r="G6" s="152" t="s">
        <v>25</v>
      </c>
      <c r="H6" s="152"/>
      <c r="I6" s="152" t="s">
        <v>27</v>
      </c>
      <c r="J6" s="152"/>
      <c r="K6" s="152" t="s">
        <v>17</v>
      </c>
      <c r="L6" s="152"/>
      <c r="M6" s="152"/>
      <c r="N6" s="152"/>
      <c r="O6" s="152"/>
      <c r="P6" s="152"/>
      <c r="Q6" s="152" t="s">
        <v>5</v>
      </c>
      <c r="R6" s="152"/>
      <c r="S6" s="152"/>
      <c r="T6" s="152"/>
      <c r="U6" s="152" t="s">
        <v>10</v>
      </c>
      <c r="V6" s="152" t="s">
        <v>8</v>
      </c>
      <c r="W6" s="155" t="s">
        <v>200</v>
      </c>
      <c r="X6" s="152" t="s">
        <v>9</v>
      </c>
      <c r="Y6" s="153" t="s">
        <v>21</v>
      </c>
    </row>
    <row r="7" spans="1:25" ht="15.75" customHeight="1" x14ac:dyDescent="0.2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8" t="s">
        <v>18</v>
      </c>
      <c r="L7" s="158"/>
      <c r="M7" s="158" t="s">
        <v>2</v>
      </c>
      <c r="N7" s="158"/>
      <c r="O7" s="158" t="s">
        <v>19</v>
      </c>
      <c r="P7" s="158"/>
      <c r="Q7" s="158" t="s">
        <v>18</v>
      </c>
      <c r="R7" s="158"/>
      <c r="S7" s="158" t="s">
        <v>20</v>
      </c>
      <c r="T7" s="158"/>
      <c r="U7" s="152"/>
      <c r="V7" s="152"/>
      <c r="W7" s="156"/>
      <c r="X7" s="152"/>
      <c r="Y7" s="153"/>
    </row>
    <row r="8" spans="1:25" ht="15.75" customHeight="1" x14ac:dyDescent="0.2">
      <c r="A8" s="152"/>
      <c r="B8" s="152"/>
      <c r="C8" s="152"/>
      <c r="D8" s="152" t="s">
        <v>15</v>
      </c>
      <c r="E8" s="152" t="s">
        <v>1</v>
      </c>
      <c r="F8" s="152"/>
      <c r="G8" s="152" t="s">
        <v>15</v>
      </c>
      <c r="H8" s="152" t="s">
        <v>1</v>
      </c>
      <c r="I8" s="152" t="s">
        <v>15</v>
      </c>
      <c r="J8" s="152" t="s">
        <v>1</v>
      </c>
      <c r="K8" s="154" t="s">
        <v>14</v>
      </c>
      <c r="L8" s="154"/>
      <c r="M8" s="154" t="s">
        <v>3</v>
      </c>
      <c r="N8" s="154"/>
      <c r="O8" s="154" t="s">
        <v>4</v>
      </c>
      <c r="P8" s="154"/>
      <c r="Q8" s="154" t="s">
        <v>14</v>
      </c>
      <c r="R8" s="154"/>
      <c r="S8" s="154" t="s">
        <v>13</v>
      </c>
      <c r="T8" s="154"/>
      <c r="U8" s="152"/>
      <c r="V8" s="152"/>
      <c r="W8" s="156"/>
      <c r="X8" s="152"/>
      <c r="Y8" s="153"/>
    </row>
    <row r="9" spans="1:25" x14ac:dyDescent="0.2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2" t="s">
        <v>15</v>
      </c>
      <c r="L9" s="12" t="s">
        <v>1</v>
      </c>
      <c r="M9" s="12" t="s">
        <v>15</v>
      </c>
      <c r="N9" s="12" t="s">
        <v>1</v>
      </c>
      <c r="O9" s="12" t="s">
        <v>15</v>
      </c>
      <c r="P9" s="12" t="s">
        <v>1</v>
      </c>
      <c r="Q9" s="11" t="s">
        <v>15</v>
      </c>
      <c r="R9" s="11" t="s">
        <v>1</v>
      </c>
      <c r="S9" s="11" t="s">
        <v>15</v>
      </c>
      <c r="T9" s="11" t="s">
        <v>1</v>
      </c>
      <c r="U9" s="152"/>
      <c r="V9" s="152"/>
      <c r="W9" s="157"/>
      <c r="X9" s="152"/>
      <c r="Y9" s="153"/>
    </row>
    <row r="10" spans="1:25" x14ac:dyDescent="0.2">
      <c r="A10" s="160" t="s">
        <v>216</v>
      </c>
      <c r="B10" s="160"/>
      <c r="C10" s="160"/>
      <c r="D10" s="160"/>
      <c r="E10" s="160"/>
      <c r="F10" s="160"/>
      <c r="G10" s="160"/>
      <c r="H10" s="160"/>
      <c r="I10" s="85"/>
      <c r="J10" s="85"/>
      <c r="K10" s="85"/>
      <c r="L10" s="85"/>
      <c r="N10" s="85"/>
      <c r="Y10" s="135"/>
    </row>
    <row r="11" spans="1:25" x14ac:dyDescent="0.2">
      <c r="A11" s="15">
        <v>1</v>
      </c>
      <c r="B11" s="121" t="s">
        <v>222</v>
      </c>
      <c r="C11" s="124">
        <v>35.299999999999997</v>
      </c>
      <c r="D11" s="74">
        <v>100</v>
      </c>
      <c r="E11" s="15">
        <v>5</v>
      </c>
      <c r="F11" s="15">
        <v>28.71</v>
      </c>
      <c r="G11" s="74">
        <v>100</v>
      </c>
      <c r="H11" s="120">
        <v>5</v>
      </c>
      <c r="I11" s="124">
        <v>15.432</v>
      </c>
      <c r="J11" s="122">
        <v>5</v>
      </c>
      <c r="K11" s="125">
        <v>4</v>
      </c>
      <c r="L11" s="122">
        <v>8</v>
      </c>
      <c r="M11" s="120">
        <v>23</v>
      </c>
      <c r="N11" s="120">
        <v>6</v>
      </c>
      <c r="O11" s="120">
        <v>0</v>
      </c>
      <c r="P11" s="120">
        <v>9</v>
      </c>
      <c r="Q11" s="74">
        <v>15</v>
      </c>
      <c r="R11" s="122">
        <v>7</v>
      </c>
      <c r="S11" s="74">
        <v>0</v>
      </c>
      <c r="T11" s="122">
        <v>9</v>
      </c>
      <c r="U11" s="74">
        <v>95</v>
      </c>
      <c r="V11" s="74">
        <f>(10.47/100)*1000</f>
        <v>104.7</v>
      </c>
      <c r="W11" s="115">
        <v>21.184000000000001</v>
      </c>
      <c r="X11" s="117">
        <v>8.4</v>
      </c>
      <c r="Y11" s="136">
        <f>E11+H11+J11+L11+N11+P11+R11+T11</f>
        <v>54</v>
      </c>
    </row>
    <row r="12" spans="1:25" x14ac:dyDescent="0.2">
      <c r="A12" s="12">
        <v>2</v>
      </c>
      <c r="B12" s="11" t="s">
        <v>195</v>
      </c>
      <c r="C12" s="14">
        <v>42.33</v>
      </c>
      <c r="D12" s="118">
        <f>(C12*D11)/C11</f>
        <v>119.91501416430596</v>
      </c>
      <c r="E12" s="15">
        <v>7</v>
      </c>
      <c r="F12" s="15">
        <v>35.93</v>
      </c>
      <c r="G12" s="118">
        <f>(F12*G11)/F11</f>
        <v>125.14803204458377</v>
      </c>
      <c r="H12" s="120">
        <v>7</v>
      </c>
      <c r="I12" s="14">
        <v>12.436</v>
      </c>
      <c r="J12" s="122">
        <v>3</v>
      </c>
      <c r="K12" s="125">
        <v>4</v>
      </c>
      <c r="L12" s="122">
        <v>8</v>
      </c>
      <c r="M12" s="120">
        <v>22</v>
      </c>
      <c r="N12" s="120">
        <v>6</v>
      </c>
      <c r="O12" s="120">
        <v>0</v>
      </c>
      <c r="P12" s="120">
        <v>9</v>
      </c>
      <c r="Q12" s="74">
        <v>10</v>
      </c>
      <c r="R12" s="122">
        <v>8</v>
      </c>
      <c r="S12" s="74">
        <v>0</v>
      </c>
      <c r="T12" s="122">
        <v>9</v>
      </c>
      <c r="U12" s="74">
        <v>101</v>
      </c>
      <c r="V12" s="74">
        <f>(9.23/100)*1000</f>
        <v>92.300000000000011</v>
      </c>
      <c r="W12" s="115">
        <v>18.187999999999999</v>
      </c>
      <c r="X12" s="117">
        <v>6</v>
      </c>
      <c r="Y12" s="136">
        <f>E12+H12+J12+L12+N12+P12+R12+T12</f>
        <v>57</v>
      </c>
    </row>
    <row r="13" spans="1:25" x14ac:dyDescent="0.2">
      <c r="A13" s="12">
        <v>3</v>
      </c>
      <c r="B13" s="11" t="s">
        <v>196</v>
      </c>
      <c r="C13" s="14">
        <v>40.49</v>
      </c>
      <c r="D13" s="118">
        <f>(C13*D11)/C11</f>
        <v>114.70254957507083</v>
      </c>
      <c r="E13" s="15">
        <v>6</v>
      </c>
      <c r="F13" s="15">
        <v>33.93</v>
      </c>
      <c r="G13" s="118">
        <f>(F13*G11)/F11</f>
        <v>118.18181818181817</v>
      </c>
      <c r="H13" s="120">
        <v>7</v>
      </c>
      <c r="I13" s="14">
        <v>11.452</v>
      </c>
      <c r="J13" s="122">
        <v>2</v>
      </c>
      <c r="K13" s="125">
        <v>1</v>
      </c>
      <c r="L13" s="122">
        <v>8</v>
      </c>
      <c r="M13" s="120">
        <v>16</v>
      </c>
      <c r="N13" s="120">
        <v>7</v>
      </c>
      <c r="O13" s="120">
        <v>0</v>
      </c>
      <c r="P13" s="120">
        <v>9</v>
      </c>
      <c r="Q13" s="74">
        <v>10</v>
      </c>
      <c r="R13" s="122">
        <v>8</v>
      </c>
      <c r="S13" s="74">
        <v>0</v>
      </c>
      <c r="T13" s="122">
        <v>9</v>
      </c>
      <c r="U13" s="74">
        <v>101</v>
      </c>
      <c r="V13" s="74">
        <f>(7.69/100)*1000</f>
        <v>76.900000000000006</v>
      </c>
      <c r="W13" s="115">
        <v>17.204000000000001</v>
      </c>
      <c r="X13" s="117">
        <v>6.8</v>
      </c>
      <c r="Y13" s="136">
        <f>E13+H13+J13+L13+N13+P13+R13+T13</f>
        <v>56</v>
      </c>
    </row>
    <row r="14" spans="1:25" x14ac:dyDescent="0.2">
      <c r="A14" s="12">
        <v>4</v>
      </c>
      <c r="B14" s="11" t="s">
        <v>197</v>
      </c>
      <c r="C14" s="14">
        <v>38.19</v>
      </c>
      <c r="D14" s="118">
        <f>(C14*D11)/C11</f>
        <v>108.18696883852692</v>
      </c>
      <c r="E14" s="15">
        <v>6</v>
      </c>
      <c r="F14" s="15">
        <v>32.06</v>
      </c>
      <c r="G14" s="118">
        <f>(F14*G11)/F11</f>
        <v>111.66840822013235</v>
      </c>
      <c r="H14" s="120">
        <v>6</v>
      </c>
      <c r="I14" s="14">
        <v>10.468</v>
      </c>
      <c r="J14" s="122">
        <v>2</v>
      </c>
      <c r="K14" s="125">
        <v>2</v>
      </c>
      <c r="L14" s="122">
        <v>8</v>
      </c>
      <c r="M14" s="120">
        <v>33</v>
      </c>
      <c r="N14" s="120">
        <v>5</v>
      </c>
      <c r="O14" s="120">
        <v>0</v>
      </c>
      <c r="P14" s="120">
        <v>9</v>
      </c>
      <c r="Q14" s="74">
        <v>10</v>
      </c>
      <c r="R14" s="122">
        <v>8</v>
      </c>
      <c r="S14" s="74">
        <v>0</v>
      </c>
      <c r="T14" s="122">
        <v>9</v>
      </c>
      <c r="U14" s="74">
        <v>101</v>
      </c>
      <c r="V14" s="74">
        <f>(10.36/100)*1000</f>
        <v>103.6</v>
      </c>
      <c r="W14" s="115">
        <v>16.219000000000001</v>
      </c>
      <c r="X14" s="117">
        <v>7.2</v>
      </c>
      <c r="Y14" s="136">
        <f>E14+H14+J14+L14+N14+P14+R14+T14</f>
        <v>53</v>
      </c>
    </row>
    <row r="15" spans="1:25" x14ac:dyDescent="0.2">
      <c r="A15" s="160" t="s">
        <v>198</v>
      </c>
      <c r="B15" s="160"/>
      <c r="C15" s="160"/>
      <c r="D15" s="160"/>
      <c r="E15" s="160"/>
      <c r="F15" s="160"/>
      <c r="G15" s="160"/>
      <c r="H15" s="160"/>
      <c r="I15" s="85"/>
      <c r="J15" s="85"/>
      <c r="K15" s="85"/>
      <c r="L15" s="85"/>
      <c r="Y15" s="135"/>
    </row>
    <row r="16" spans="1:25" x14ac:dyDescent="0.2">
      <c r="A16" s="15">
        <v>1</v>
      </c>
      <c r="B16" s="121" t="s">
        <v>223</v>
      </c>
      <c r="C16" s="124">
        <v>24.05</v>
      </c>
      <c r="D16" s="74">
        <v>100</v>
      </c>
      <c r="E16" s="15">
        <v>5</v>
      </c>
      <c r="F16" s="124">
        <v>23.6</v>
      </c>
      <c r="G16" s="74">
        <v>100</v>
      </c>
      <c r="H16" s="120">
        <v>5</v>
      </c>
      <c r="I16" s="15">
        <v>18.18</v>
      </c>
      <c r="J16" s="122">
        <v>7</v>
      </c>
      <c r="K16" s="125">
        <v>1</v>
      </c>
      <c r="L16" s="122">
        <v>8</v>
      </c>
      <c r="M16" s="120">
        <v>0</v>
      </c>
      <c r="N16" s="120">
        <v>9</v>
      </c>
      <c r="O16" s="120">
        <v>0</v>
      </c>
      <c r="P16" s="120">
        <v>9</v>
      </c>
      <c r="Q16" s="74">
        <v>2</v>
      </c>
      <c r="R16" s="122">
        <v>8</v>
      </c>
      <c r="S16" s="74">
        <v>19</v>
      </c>
      <c r="T16" s="122">
        <v>7</v>
      </c>
      <c r="U16" s="74">
        <v>82</v>
      </c>
      <c r="V16" s="117">
        <f>(9.275/100)*1000</f>
        <v>92.75</v>
      </c>
      <c r="W16" s="115">
        <v>25.46</v>
      </c>
      <c r="X16" s="117">
        <v>5.6</v>
      </c>
      <c r="Y16" s="136">
        <f>E16+H16+J16+L16+N16+P16+R16+T16</f>
        <v>58</v>
      </c>
    </row>
    <row r="17" spans="1:25" x14ac:dyDescent="0.2">
      <c r="A17" s="12">
        <v>2</v>
      </c>
      <c r="B17" s="11" t="s">
        <v>195</v>
      </c>
      <c r="C17" s="14">
        <v>42.82</v>
      </c>
      <c r="D17" s="118">
        <f>(C17*D16)/C16</f>
        <v>178.04573804573803</v>
      </c>
      <c r="E17" s="15">
        <v>9</v>
      </c>
      <c r="F17" s="15">
        <v>41.81</v>
      </c>
      <c r="G17" s="118">
        <f>(F17*G16)/F16</f>
        <v>177.16101694915253</v>
      </c>
      <c r="H17" s="120">
        <v>9</v>
      </c>
      <c r="I17" s="12">
        <v>10.66</v>
      </c>
      <c r="J17" s="122">
        <v>2</v>
      </c>
      <c r="K17" s="125">
        <v>0</v>
      </c>
      <c r="L17" s="122">
        <v>9</v>
      </c>
      <c r="M17" s="120">
        <v>0</v>
      </c>
      <c r="N17" s="120">
        <v>9</v>
      </c>
      <c r="O17" s="120">
        <v>0</v>
      </c>
      <c r="P17" s="120">
        <v>9</v>
      </c>
      <c r="Q17" s="74">
        <v>0</v>
      </c>
      <c r="R17" s="122">
        <v>9</v>
      </c>
      <c r="S17" s="74">
        <v>63</v>
      </c>
      <c r="T17" s="122">
        <v>3</v>
      </c>
      <c r="U17" s="74">
        <v>82</v>
      </c>
      <c r="V17" s="117">
        <f>(7.2/100)*1000</f>
        <v>72.000000000000014</v>
      </c>
      <c r="W17" s="115">
        <v>17.7</v>
      </c>
      <c r="X17" s="117">
        <v>7.7</v>
      </c>
      <c r="Y17" s="136">
        <f>E17+H17+J17+L17+N17+P17+R17+T17</f>
        <v>59</v>
      </c>
    </row>
    <row r="18" spans="1:25" x14ac:dyDescent="0.2">
      <c r="A18" s="12">
        <v>3</v>
      </c>
      <c r="B18" s="11" t="s">
        <v>196</v>
      </c>
      <c r="C18" s="14">
        <v>31.88</v>
      </c>
      <c r="D18" s="118">
        <f>(C18*D16)/C16</f>
        <v>132.55717255717255</v>
      </c>
      <c r="E18" s="15">
        <v>8</v>
      </c>
      <c r="F18" s="15">
        <v>31.05</v>
      </c>
      <c r="G18" s="118">
        <f>(F18*G16)/F16</f>
        <v>131.56779661016949</v>
      </c>
      <c r="H18" s="120">
        <v>8</v>
      </c>
      <c r="I18" s="12">
        <v>11.61</v>
      </c>
      <c r="J18" s="122">
        <v>2</v>
      </c>
      <c r="K18" s="125">
        <v>0</v>
      </c>
      <c r="L18" s="122">
        <v>9</v>
      </c>
      <c r="M18" s="120">
        <v>0</v>
      </c>
      <c r="N18" s="120">
        <v>9</v>
      </c>
      <c r="O18" s="120">
        <v>0</v>
      </c>
      <c r="P18" s="120">
        <v>9</v>
      </c>
      <c r="Q18" s="74">
        <v>0</v>
      </c>
      <c r="R18" s="122">
        <v>9</v>
      </c>
      <c r="S18" s="74">
        <v>100</v>
      </c>
      <c r="T18" s="122">
        <v>1</v>
      </c>
      <c r="U18" s="74">
        <v>71</v>
      </c>
      <c r="V18" s="117">
        <f>(6.1/100)*1000</f>
        <v>61</v>
      </c>
      <c r="W18" s="115">
        <v>18.670000000000002</v>
      </c>
      <c r="X18" s="117">
        <v>6.7</v>
      </c>
      <c r="Y18" s="136">
        <f>E18+H18+J18+L18+N18+P18+R18+T18</f>
        <v>55</v>
      </c>
    </row>
    <row r="19" spans="1:25" x14ac:dyDescent="0.2">
      <c r="A19" s="12">
        <v>4</v>
      </c>
      <c r="B19" s="11" t="s">
        <v>197</v>
      </c>
      <c r="C19" s="14">
        <v>44.17</v>
      </c>
      <c r="D19" s="118">
        <f>(C19*D16)/C16</f>
        <v>183.65904365904365</v>
      </c>
      <c r="E19" s="15">
        <v>9</v>
      </c>
      <c r="F19" s="15">
        <v>43.77</v>
      </c>
      <c r="G19" s="118">
        <f>(F19*G16)/F16</f>
        <v>185.46610169491524</v>
      </c>
      <c r="H19" s="120">
        <v>9</v>
      </c>
      <c r="I19" s="12">
        <v>14.74</v>
      </c>
      <c r="J19" s="122">
        <v>4</v>
      </c>
      <c r="K19" s="125">
        <v>0</v>
      </c>
      <c r="L19" s="122">
        <v>9</v>
      </c>
      <c r="M19" s="120">
        <v>0</v>
      </c>
      <c r="N19" s="120">
        <v>9</v>
      </c>
      <c r="O19" s="120">
        <v>0</v>
      </c>
      <c r="P19" s="120">
        <v>9</v>
      </c>
      <c r="Q19" s="74">
        <v>0</v>
      </c>
      <c r="R19" s="122">
        <v>9</v>
      </c>
      <c r="S19" s="74">
        <v>19</v>
      </c>
      <c r="T19" s="122">
        <v>7</v>
      </c>
      <c r="U19" s="74">
        <v>84</v>
      </c>
      <c r="V19" s="117">
        <f>(8.775/100)*1000</f>
        <v>87.750000000000014</v>
      </c>
      <c r="W19" s="115">
        <v>21.91</v>
      </c>
      <c r="X19" s="117">
        <v>6.3</v>
      </c>
      <c r="Y19" s="136">
        <f>E19+H19+J19+L19+N19+P19+R19+T19</f>
        <v>65</v>
      </c>
    </row>
    <row r="20" spans="1:25" x14ac:dyDescent="0.2">
      <c r="A20" s="159" t="s">
        <v>199</v>
      </c>
      <c r="B20" s="159"/>
      <c r="C20" s="159"/>
      <c r="D20" s="159"/>
      <c r="E20" s="159"/>
      <c r="F20" s="159"/>
      <c r="G20" s="159"/>
      <c r="H20" s="86"/>
      <c r="I20" s="85"/>
      <c r="J20" s="85"/>
      <c r="K20" s="85"/>
      <c r="L20" s="85"/>
      <c r="Y20" s="135"/>
    </row>
    <row r="21" spans="1:25" x14ac:dyDescent="0.2">
      <c r="A21" s="15">
        <v>1</v>
      </c>
      <c r="B21" s="121" t="s">
        <v>223</v>
      </c>
      <c r="C21" s="124">
        <f>(C11+C16)/2</f>
        <v>29.674999999999997</v>
      </c>
      <c r="D21" s="74">
        <v>100</v>
      </c>
      <c r="E21" s="15">
        <v>5</v>
      </c>
      <c r="F21" s="124">
        <f>(F11+F16)/2</f>
        <v>26.155000000000001</v>
      </c>
      <c r="G21" s="74">
        <v>100</v>
      </c>
      <c r="H21" s="120">
        <v>5</v>
      </c>
      <c r="I21" s="124">
        <f t="shared" ref="I21:K24" si="0">(I11+I16)/2</f>
        <v>16.806000000000001</v>
      </c>
      <c r="J21" s="122">
        <v>5</v>
      </c>
      <c r="K21" s="18">
        <f t="shared" si="0"/>
        <v>2.5</v>
      </c>
      <c r="L21" s="122">
        <v>8</v>
      </c>
      <c r="M21" s="18">
        <f>(M11+M16)/2</f>
        <v>11.5</v>
      </c>
      <c r="N21" s="120">
        <v>7</v>
      </c>
      <c r="O21" s="18">
        <f>(O11+O16)/2</f>
        <v>0</v>
      </c>
      <c r="P21" s="120">
        <v>9</v>
      </c>
      <c r="Q21" s="18">
        <f>(Q11+Q16)/2</f>
        <v>8.5</v>
      </c>
      <c r="R21" s="122">
        <v>8</v>
      </c>
      <c r="S21" s="18">
        <f>(S11+S16)/2</f>
        <v>9.5</v>
      </c>
      <c r="T21" s="122">
        <v>8</v>
      </c>
      <c r="U21" s="18">
        <f t="shared" ref="U21:V24" si="1">(U11+U16)/2</f>
        <v>88.5</v>
      </c>
      <c r="V21" s="123">
        <f t="shared" si="1"/>
        <v>98.724999999999994</v>
      </c>
      <c r="W21" s="124">
        <f t="shared" ref="W21:X24" si="2">(W11+W16)/2</f>
        <v>23.322000000000003</v>
      </c>
      <c r="X21" s="123">
        <f t="shared" si="2"/>
        <v>7</v>
      </c>
      <c r="Y21" s="136">
        <f>E21+H21+J21+L21+N21+P21+R21+T21</f>
        <v>55</v>
      </c>
    </row>
    <row r="22" spans="1:25" x14ac:dyDescent="0.2">
      <c r="A22" s="12">
        <v>2</v>
      </c>
      <c r="B22" s="11" t="s">
        <v>195</v>
      </c>
      <c r="C22" s="124">
        <f>(C12+C17)/2</f>
        <v>42.575000000000003</v>
      </c>
      <c r="D22" s="118">
        <f>(C22*D21)/C21</f>
        <v>143.47093513058132</v>
      </c>
      <c r="E22" s="15">
        <v>9</v>
      </c>
      <c r="F22" s="124">
        <f>(F12+F17)/2</f>
        <v>38.870000000000005</v>
      </c>
      <c r="G22" s="118">
        <f>(F22*G21)/F21</f>
        <v>148.61403173389411</v>
      </c>
      <c r="H22" s="120">
        <v>9</v>
      </c>
      <c r="I22" s="124">
        <f t="shared" si="0"/>
        <v>11.548</v>
      </c>
      <c r="J22" s="122">
        <v>2</v>
      </c>
      <c r="K22" s="18">
        <f t="shared" si="0"/>
        <v>2</v>
      </c>
      <c r="L22" s="122">
        <v>8</v>
      </c>
      <c r="M22" s="18">
        <f>(M12+M17)/2</f>
        <v>11</v>
      </c>
      <c r="N22" s="120">
        <v>7</v>
      </c>
      <c r="O22" s="18">
        <f>(O12+O17)/2</f>
        <v>0</v>
      </c>
      <c r="P22" s="120">
        <v>9</v>
      </c>
      <c r="Q22" s="18">
        <f>(Q12+Q17)/2</f>
        <v>5</v>
      </c>
      <c r="R22" s="122">
        <v>8</v>
      </c>
      <c r="S22" s="18">
        <f>(S12+S17)/2</f>
        <v>31.5</v>
      </c>
      <c r="T22" s="122">
        <v>5</v>
      </c>
      <c r="U22" s="18">
        <f>(U12+U17)/2</f>
        <v>91.5</v>
      </c>
      <c r="V22" s="123">
        <f t="shared" si="1"/>
        <v>82.15</v>
      </c>
      <c r="W22" s="124">
        <f t="shared" si="2"/>
        <v>17.943999999999999</v>
      </c>
      <c r="X22" s="123">
        <f t="shared" si="2"/>
        <v>6.85</v>
      </c>
      <c r="Y22" s="136">
        <f>E22+H22+J22+L22+N22+P22+R22+T22</f>
        <v>57</v>
      </c>
    </row>
    <row r="23" spans="1:25" x14ac:dyDescent="0.2">
      <c r="A23" s="12">
        <v>3</v>
      </c>
      <c r="B23" s="11" t="s">
        <v>196</v>
      </c>
      <c r="C23" s="124">
        <f>(C13+C18)/2</f>
        <v>36.185000000000002</v>
      </c>
      <c r="D23" s="118">
        <f>(C23*D21)/C21</f>
        <v>121.93765796124686</v>
      </c>
      <c r="E23" s="15">
        <v>7</v>
      </c>
      <c r="F23" s="124">
        <f>(F13+F18)/2</f>
        <v>32.49</v>
      </c>
      <c r="G23" s="118">
        <f>(F23*G21)/F21</f>
        <v>124.22099025043012</v>
      </c>
      <c r="H23" s="120">
        <v>7</v>
      </c>
      <c r="I23" s="124">
        <f t="shared" si="0"/>
        <v>11.530999999999999</v>
      </c>
      <c r="J23" s="122">
        <v>2</v>
      </c>
      <c r="K23" s="18">
        <f t="shared" si="0"/>
        <v>0.5</v>
      </c>
      <c r="L23" s="122">
        <v>8</v>
      </c>
      <c r="M23" s="18">
        <f>(M13+M18)/2</f>
        <v>8</v>
      </c>
      <c r="N23" s="120">
        <v>8</v>
      </c>
      <c r="O23" s="18">
        <f>(O13+O18)/2</f>
        <v>0</v>
      </c>
      <c r="P23" s="120">
        <v>9</v>
      </c>
      <c r="Q23" s="18">
        <f>(Q13+Q18)/2</f>
        <v>5</v>
      </c>
      <c r="R23" s="122">
        <v>8</v>
      </c>
      <c r="S23" s="18">
        <f>(S13+S18)/2</f>
        <v>50</v>
      </c>
      <c r="T23" s="122">
        <v>4</v>
      </c>
      <c r="U23" s="18">
        <f>(U13+U18)/2</f>
        <v>86</v>
      </c>
      <c r="V23" s="123">
        <f t="shared" si="1"/>
        <v>68.95</v>
      </c>
      <c r="W23" s="124">
        <f t="shared" si="2"/>
        <v>17.937000000000001</v>
      </c>
      <c r="X23" s="123">
        <f t="shared" si="2"/>
        <v>6.75</v>
      </c>
      <c r="Y23" s="136">
        <f>E23+H23+J23+L23+N23+P23+R23+T23</f>
        <v>53</v>
      </c>
    </row>
    <row r="24" spans="1:25" x14ac:dyDescent="0.2">
      <c r="A24" s="12">
        <v>4</v>
      </c>
      <c r="B24" s="11" t="s">
        <v>197</v>
      </c>
      <c r="C24" s="124">
        <f>(C14+C19)/2</f>
        <v>41.18</v>
      </c>
      <c r="D24" s="118">
        <f>(C24*D21)/C21</f>
        <v>138.77000842459984</v>
      </c>
      <c r="E24" s="15">
        <v>9</v>
      </c>
      <c r="F24" s="124">
        <f>(F14+F19)/2</f>
        <v>37.915000000000006</v>
      </c>
      <c r="G24" s="118">
        <f>(F24*G21)/F21</f>
        <v>144.96272223284268</v>
      </c>
      <c r="H24" s="120">
        <v>9</v>
      </c>
      <c r="I24" s="124">
        <f t="shared" si="0"/>
        <v>12.603999999999999</v>
      </c>
      <c r="J24" s="122">
        <v>3</v>
      </c>
      <c r="K24" s="18">
        <f t="shared" si="0"/>
        <v>1</v>
      </c>
      <c r="L24" s="122">
        <v>8</v>
      </c>
      <c r="M24" s="18">
        <f>(M14+M19)/2</f>
        <v>16.5</v>
      </c>
      <c r="N24" s="120">
        <v>7</v>
      </c>
      <c r="O24" s="18">
        <f>(O14+O19)/2</f>
        <v>0</v>
      </c>
      <c r="P24" s="120">
        <v>9</v>
      </c>
      <c r="Q24" s="18">
        <f>(Q14+Q19)/2</f>
        <v>5</v>
      </c>
      <c r="R24" s="122">
        <v>8</v>
      </c>
      <c r="S24" s="18">
        <f>(S14+S19)/2</f>
        <v>9.5</v>
      </c>
      <c r="T24" s="122">
        <v>8</v>
      </c>
      <c r="U24" s="18">
        <f>(U14+U19)/2</f>
        <v>92.5</v>
      </c>
      <c r="V24" s="123">
        <f t="shared" si="1"/>
        <v>95.675000000000011</v>
      </c>
      <c r="W24" s="124">
        <f t="shared" si="2"/>
        <v>19.064500000000002</v>
      </c>
      <c r="X24" s="123">
        <f t="shared" si="2"/>
        <v>6.75</v>
      </c>
      <c r="Y24" s="136">
        <f>E24+H24+J24+L24+N24+P24+R24+T24</f>
        <v>61</v>
      </c>
    </row>
    <row r="25" spans="1:25" x14ac:dyDescent="0.2">
      <c r="A25" s="75"/>
      <c r="B25" s="87"/>
      <c r="C25" s="87"/>
      <c r="D25" s="6"/>
      <c r="G25" s="6"/>
      <c r="H25" s="85"/>
      <c r="J25" s="85"/>
      <c r="K25" s="85"/>
      <c r="L25" s="85"/>
      <c r="M25" s="85"/>
      <c r="N25" s="85"/>
    </row>
    <row r="26" spans="1:25" x14ac:dyDescent="0.2">
      <c r="A26" s="75"/>
      <c r="B26" s="75"/>
      <c r="C26" s="75"/>
      <c r="D26" s="6"/>
      <c r="G26" s="6"/>
      <c r="H26" s="85"/>
      <c r="J26" s="85"/>
      <c r="K26" s="85"/>
      <c r="L26" s="85"/>
      <c r="M26" s="85"/>
      <c r="N26" s="85"/>
    </row>
    <row r="27" spans="1:25" x14ac:dyDescent="0.2">
      <c r="A27" s="88"/>
      <c r="B27" s="85"/>
      <c r="C27" s="85"/>
      <c r="D27" s="85"/>
      <c r="E27" s="85"/>
      <c r="F27" s="85"/>
      <c r="I27" s="85"/>
      <c r="K27" s="85"/>
      <c r="L27" s="85"/>
      <c r="M27" s="85"/>
      <c r="N27" s="85"/>
    </row>
    <row r="28" spans="1:25" x14ac:dyDescent="0.2">
      <c r="A28" s="75"/>
      <c r="B28" s="75"/>
      <c r="C28" s="75"/>
      <c r="D28" s="6"/>
      <c r="E28" s="6"/>
      <c r="F28" s="6"/>
      <c r="I28" s="85"/>
      <c r="K28" s="85"/>
      <c r="L28" s="85"/>
      <c r="M28" s="85"/>
      <c r="N28" s="85"/>
    </row>
    <row r="29" spans="1:25" x14ac:dyDescent="0.2">
      <c r="A29" s="75"/>
      <c r="B29" s="75"/>
      <c r="C29" s="75"/>
      <c r="D29" s="6"/>
      <c r="E29" s="6"/>
      <c r="F29" s="6"/>
      <c r="I29" s="85"/>
      <c r="K29" s="85"/>
      <c r="L29" s="85"/>
      <c r="M29" s="85"/>
      <c r="N29" s="85"/>
    </row>
    <row r="30" spans="1:25" x14ac:dyDescent="0.2">
      <c r="A30" s="75"/>
      <c r="B30" s="87"/>
      <c r="C30" s="87"/>
      <c r="D30" s="6"/>
      <c r="E30" s="6"/>
      <c r="F30" s="6"/>
      <c r="I30" s="85"/>
      <c r="K30" s="85"/>
      <c r="L30" s="85"/>
      <c r="M30" s="85"/>
      <c r="N30" s="85"/>
    </row>
    <row r="31" spans="1:25" x14ac:dyDescent="0.2">
      <c r="A31" s="75"/>
      <c r="B31" s="75"/>
      <c r="C31" s="75"/>
      <c r="D31" s="6"/>
      <c r="E31" s="6"/>
      <c r="F31" s="6"/>
      <c r="I31" s="85"/>
      <c r="K31" s="85"/>
      <c r="L31" s="85"/>
      <c r="M31" s="85"/>
      <c r="N31" s="85"/>
    </row>
    <row r="32" spans="1:25" x14ac:dyDescent="0.2">
      <c r="A32" s="75"/>
      <c r="B32" s="75"/>
      <c r="C32" s="75"/>
      <c r="D32" s="6"/>
      <c r="E32" s="6"/>
      <c r="F32" s="6"/>
      <c r="I32" s="85"/>
      <c r="K32" s="85"/>
      <c r="L32" s="85"/>
      <c r="M32" s="85"/>
      <c r="N32" s="85"/>
    </row>
    <row r="33" spans="1:14" x14ac:dyDescent="0.2">
      <c r="A33" s="87"/>
      <c r="B33" s="87"/>
      <c r="C33" s="87"/>
      <c r="D33" s="6"/>
      <c r="E33" s="6"/>
      <c r="F33" s="6"/>
      <c r="I33" s="85"/>
      <c r="K33" s="85"/>
      <c r="L33" s="85"/>
      <c r="M33" s="85"/>
      <c r="N33" s="85"/>
    </row>
    <row r="34" spans="1:14" x14ac:dyDescent="0.2">
      <c r="A34" s="89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</row>
    <row r="35" spans="1:14" x14ac:dyDescent="0.2">
      <c r="A35" s="90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</row>
    <row r="36" spans="1:14" x14ac:dyDescent="0.2">
      <c r="A36" s="75"/>
      <c r="B36" s="75"/>
      <c r="C36" s="75"/>
      <c r="D36" s="6"/>
      <c r="E36" s="6"/>
      <c r="F36" s="6"/>
      <c r="G36" s="6"/>
      <c r="H36" s="6"/>
      <c r="I36" s="85"/>
      <c r="J36" s="85"/>
      <c r="K36" s="85"/>
      <c r="L36" s="85"/>
      <c r="M36" s="85"/>
      <c r="N36" s="85"/>
    </row>
    <row r="37" spans="1:14" x14ac:dyDescent="0.2">
      <c r="A37" s="75"/>
      <c r="B37" s="75"/>
      <c r="C37" s="75"/>
      <c r="D37" s="6"/>
      <c r="E37" s="6"/>
      <c r="F37" s="6"/>
      <c r="G37" s="6"/>
      <c r="H37" s="6"/>
      <c r="I37" s="85"/>
      <c r="J37" s="85"/>
      <c r="K37" s="85"/>
      <c r="L37" s="85"/>
      <c r="M37" s="85"/>
      <c r="N37" s="85"/>
    </row>
    <row r="38" spans="1:14" x14ac:dyDescent="0.2">
      <c r="A38" s="75"/>
      <c r="B38" s="87"/>
      <c r="C38" s="87"/>
      <c r="D38" s="6"/>
      <c r="E38" s="6"/>
      <c r="F38" s="6"/>
      <c r="G38" s="6"/>
      <c r="H38" s="6"/>
      <c r="I38" s="85"/>
      <c r="J38" s="85"/>
      <c r="K38" s="85"/>
      <c r="L38" s="85"/>
      <c r="M38" s="85"/>
      <c r="N38" s="85"/>
    </row>
    <row r="39" spans="1:14" x14ac:dyDescent="0.2">
      <c r="A39" s="75"/>
      <c r="B39" s="75"/>
      <c r="C39" s="75"/>
      <c r="D39" s="6"/>
      <c r="E39" s="6"/>
      <c r="F39" s="6"/>
      <c r="G39" s="6"/>
      <c r="H39" s="6"/>
      <c r="I39" s="85"/>
      <c r="J39" s="85"/>
      <c r="K39" s="85"/>
      <c r="L39" s="85"/>
      <c r="M39" s="85"/>
      <c r="N39" s="85"/>
    </row>
    <row r="40" spans="1:14" x14ac:dyDescent="0.2">
      <c r="A40" s="75"/>
      <c r="B40" s="75"/>
      <c r="C40" s="75"/>
      <c r="D40" s="6"/>
      <c r="E40" s="6"/>
      <c r="F40" s="6"/>
      <c r="G40" s="6"/>
      <c r="H40" s="6"/>
      <c r="I40" s="85"/>
      <c r="J40" s="85"/>
      <c r="K40" s="85"/>
      <c r="L40" s="85"/>
      <c r="M40" s="85"/>
      <c r="N40" s="85"/>
    </row>
    <row r="41" spans="1:14" x14ac:dyDescent="0.2">
      <c r="A41" s="87"/>
      <c r="B41" s="87"/>
      <c r="C41" s="87"/>
      <c r="D41" s="6"/>
      <c r="E41" s="6"/>
      <c r="F41" s="6"/>
      <c r="G41" s="6"/>
      <c r="H41" s="6"/>
      <c r="I41" s="85"/>
      <c r="J41" s="85"/>
      <c r="K41" s="85"/>
      <c r="L41" s="85"/>
      <c r="M41" s="85"/>
      <c r="N41" s="85"/>
    </row>
    <row r="42" spans="1:14" x14ac:dyDescent="0.2">
      <c r="A42" s="91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</row>
    <row r="43" spans="1:14" x14ac:dyDescent="0.2">
      <c r="A43" s="91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</row>
    <row r="44" spans="1:14" x14ac:dyDescent="0.2">
      <c r="A44" s="92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</row>
    <row r="45" spans="1:14" x14ac:dyDescent="0.2">
      <c r="A45" s="93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ht="18.75" customHeight="1" x14ac:dyDescent="0.2">
      <c r="A46" s="75"/>
      <c r="B46" s="6"/>
      <c r="C46" s="6"/>
      <c r="D46" s="75"/>
      <c r="E46" s="75"/>
      <c r="F46" s="75"/>
      <c r="G46" s="75"/>
      <c r="H46" s="75"/>
      <c r="I46" s="85"/>
      <c r="J46" s="85"/>
      <c r="K46" s="85"/>
      <c r="L46" s="85"/>
      <c r="M46" s="85"/>
      <c r="N46" s="85"/>
    </row>
    <row r="47" spans="1:14" ht="18.75" customHeight="1" x14ac:dyDescent="0.2">
      <c r="A47" s="75"/>
      <c r="B47" s="6"/>
      <c r="C47" s="6"/>
      <c r="D47" s="75"/>
      <c r="E47" s="75"/>
      <c r="F47" s="75"/>
      <c r="G47" s="75"/>
      <c r="H47" s="75"/>
      <c r="I47" s="85"/>
      <c r="J47" s="85"/>
      <c r="K47" s="85"/>
      <c r="L47" s="85"/>
      <c r="M47" s="85"/>
      <c r="N47" s="85"/>
    </row>
    <row r="48" spans="1:14" ht="15.75" customHeight="1" x14ac:dyDescent="0.2">
      <c r="A48" s="75"/>
      <c r="B48" s="75"/>
      <c r="C48" s="75"/>
      <c r="D48" s="75"/>
      <c r="E48" s="75"/>
      <c r="F48" s="75"/>
      <c r="G48" s="75"/>
      <c r="H48" s="6"/>
      <c r="I48" s="85"/>
      <c r="J48" s="85"/>
      <c r="K48" s="85"/>
      <c r="L48" s="85"/>
      <c r="M48" s="85"/>
      <c r="N48" s="85"/>
    </row>
    <row r="49" spans="1:14" ht="15.75" customHeight="1" x14ac:dyDescent="0.2">
      <c r="A49" s="75"/>
      <c r="B49" s="75"/>
      <c r="C49" s="75"/>
      <c r="D49" s="75"/>
      <c r="E49" s="75"/>
      <c r="F49" s="75"/>
      <c r="G49" s="75"/>
      <c r="H49" s="6"/>
      <c r="I49" s="85"/>
      <c r="J49" s="85"/>
      <c r="K49" s="85"/>
      <c r="L49" s="85"/>
      <c r="M49" s="85"/>
      <c r="N49" s="85"/>
    </row>
    <row r="50" spans="1:14" x14ac:dyDescent="0.2">
      <c r="A50" s="75"/>
      <c r="B50" s="75"/>
      <c r="C50" s="75"/>
      <c r="D50" s="75"/>
      <c r="E50" s="75"/>
      <c r="F50" s="75"/>
      <c r="G50" s="75"/>
      <c r="H50" s="75"/>
      <c r="I50" s="85"/>
      <c r="J50" s="85"/>
      <c r="K50" s="85"/>
      <c r="L50" s="85"/>
      <c r="M50" s="85"/>
      <c r="N50" s="85"/>
    </row>
    <row r="51" spans="1:14" x14ac:dyDescent="0.2">
      <c r="A51" s="88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x14ac:dyDescent="0.2">
      <c r="A52" s="75"/>
      <c r="B52" s="75"/>
      <c r="C52" s="75"/>
      <c r="D52" s="6"/>
      <c r="E52" s="6"/>
      <c r="F52" s="6"/>
      <c r="G52" s="6"/>
      <c r="H52" s="6"/>
      <c r="I52" s="85"/>
      <c r="J52" s="85"/>
      <c r="K52" s="85"/>
      <c r="L52" s="85"/>
      <c r="M52" s="85"/>
      <c r="N52" s="85"/>
    </row>
    <row r="53" spans="1:14" x14ac:dyDescent="0.2">
      <c r="A53" s="75"/>
      <c r="B53" s="75"/>
      <c r="C53" s="75"/>
      <c r="D53" s="6"/>
      <c r="E53" s="6"/>
      <c r="F53" s="6"/>
      <c r="G53" s="6"/>
      <c r="H53" s="6"/>
      <c r="I53" s="85"/>
      <c r="J53" s="85"/>
      <c r="K53" s="85"/>
      <c r="L53" s="85"/>
      <c r="M53" s="85"/>
      <c r="N53" s="85"/>
    </row>
    <row r="54" spans="1:14" x14ac:dyDescent="0.2">
      <c r="A54" s="75"/>
      <c r="B54" s="87"/>
      <c r="C54" s="87"/>
      <c r="D54" s="6"/>
      <c r="E54" s="6"/>
      <c r="F54" s="6"/>
      <c r="G54" s="6"/>
      <c r="H54" s="6"/>
      <c r="I54" s="85"/>
      <c r="J54" s="85"/>
      <c r="K54" s="85"/>
      <c r="L54" s="85"/>
      <c r="M54" s="85"/>
      <c r="N54" s="85"/>
    </row>
    <row r="55" spans="1:14" x14ac:dyDescent="0.2">
      <c r="A55" s="75"/>
      <c r="B55" s="75"/>
      <c r="C55" s="75"/>
      <c r="D55" s="6"/>
      <c r="E55" s="6"/>
      <c r="F55" s="6"/>
      <c r="G55" s="6"/>
      <c r="H55" s="6"/>
      <c r="I55" s="85"/>
      <c r="J55" s="85"/>
      <c r="K55" s="85"/>
      <c r="L55" s="85"/>
      <c r="M55" s="85"/>
      <c r="N55" s="85"/>
    </row>
    <row r="56" spans="1:14" x14ac:dyDescent="0.2">
      <c r="A56" s="75"/>
      <c r="B56" s="75"/>
      <c r="C56" s="75"/>
      <c r="D56" s="6"/>
      <c r="E56" s="6"/>
      <c r="F56" s="6"/>
      <c r="G56" s="6"/>
      <c r="H56" s="6"/>
      <c r="I56" s="85"/>
      <c r="J56" s="85"/>
      <c r="K56" s="85"/>
      <c r="L56" s="85"/>
      <c r="M56" s="85"/>
      <c r="N56" s="85"/>
    </row>
    <row r="57" spans="1:14" x14ac:dyDescent="0.2">
      <c r="A57" s="87"/>
      <c r="B57" s="87"/>
      <c r="C57" s="87"/>
      <c r="D57" s="6"/>
      <c r="E57" s="6"/>
      <c r="F57" s="6"/>
      <c r="G57" s="6"/>
      <c r="H57" s="6"/>
      <c r="I57" s="85"/>
      <c r="J57" s="85"/>
      <c r="K57" s="85"/>
      <c r="L57" s="85"/>
      <c r="M57" s="85"/>
      <c r="N57" s="85"/>
    </row>
    <row r="58" spans="1:14" x14ac:dyDescent="0.2">
      <c r="A58" s="88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</row>
    <row r="59" spans="1:14" x14ac:dyDescent="0.2">
      <c r="A59" s="75"/>
      <c r="B59" s="75"/>
      <c r="C59" s="75"/>
      <c r="D59" s="6"/>
      <c r="E59" s="6"/>
      <c r="F59" s="6"/>
      <c r="G59" s="6"/>
      <c r="H59" s="6"/>
      <c r="I59" s="85"/>
      <c r="J59" s="85"/>
      <c r="K59" s="85"/>
      <c r="L59" s="85"/>
      <c r="M59" s="85"/>
      <c r="N59" s="85"/>
    </row>
    <row r="60" spans="1:14" x14ac:dyDescent="0.2">
      <c r="A60" s="75"/>
      <c r="B60" s="75"/>
      <c r="C60" s="75"/>
      <c r="D60" s="6"/>
      <c r="E60" s="6"/>
      <c r="F60" s="6"/>
      <c r="G60" s="6"/>
      <c r="H60" s="6"/>
      <c r="I60" s="85"/>
      <c r="J60" s="85"/>
      <c r="K60" s="85"/>
      <c r="L60" s="85"/>
      <c r="M60" s="85"/>
      <c r="N60" s="85"/>
    </row>
    <row r="61" spans="1:14" x14ac:dyDescent="0.2">
      <c r="A61" s="75"/>
      <c r="B61" s="87"/>
      <c r="C61" s="87"/>
      <c r="D61" s="6"/>
      <c r="E61" s="6"/>
      <c r="F61" s="6"/>
      <c r="G61" s="6"/>
      <c r="H61" s="6"/>
      <c r="I61" s="85"/>
      <c r="J61" s="85"/>
      <c r="K61" s="85"/>
      <c r="L61" s="85"/>
      <c r="M61" s="85"/>
      <c r="N61" s="85"/>
    </row>
    <row r="62" spans="1:14" x14ac:dyDescent="0.2">
      <c r="A62" s="75"/>
      <c r="B62" s="75"/>
      <c r="C62" s="75"/>
      <c r="D62" s="6"/>
      <c r="E62" s="6"/>
      <c r="F62" s="6"/>
      <c r="G62" s="6"/>
      <c r="H62" s="6"/>
      <c r="I62" s="85"/>
      <c r="J62" s="85"/>
      <c r="K62" s="85"/>
      <c r="L62" s="85"/>
      <c r="M62" s="85"/>
      <c r="N62" s="85"/>
    </row>
    <row r="63" spans="1:14" x14ac:dyDescent="0.2">
      <c r="A63" s="75"/>
      <c r="B63" s="75"/>
      <c r="C63" s="75"/>
      <c r="D63" s="6"/>
      <c r="E63" s="6"/>
      <c r="F63" s="6"/>
      <c r="G63" s="6"/>
      <c r="H63" s="6"/>
      <c r="I63" s="85"/>
      <c r="J63" s="85"/>
      <c r="K63" s="85"/>
      <c r="L63" s="85"/>
      <c r="M63" s="85"/>
      <c r="N63" s="85"/>
    </row>
    <row r="64" spans="1:14" x14ac:dyDescent="0.2">
      <c r="A64" s="87"/>
      <c r="B64" s="87"/>
      <c r="C64" s="87"/>
      <c r="D64" s="6"/>
      <c r="E64" s="6"/>
      <c r="F64" s="6"/>
      <c r="G64" s="6"/>
      <c r="H64" s="6"/>
      <c r="I64" s="85"/>
      <c r="J64" s="85"/>
      <c r="K64" s="85"/>
      <c r="L64" s="85"/>
      <c r="M64" s="85"/>
      <c r="N64" s="85"/>
    </row>
    <row r="65" spans="1:14" x14ac:dyDescent="0.2">
      <c r="A65" s="90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</row>
    <row r="66" spans="1:14" x14ac:dyDescent="0.2">
      <c r="A66" s="75"/>
      <c r="B66" s="75"/>
      <c r="C66" s="75"/>
      <c r="D66" s="6"/>
      <c r="E66" s="6"/>
      <c r="F66" s="6"/>
      <c r="G66" s="6"/>
      <c r="H66" s="6"/>
      <c r="I66" s="85"/>
      <c r="J66" s="85"/>
      <c r="K66" s="85"/>
      <c r="L66" s="85"/>
      <c r="M66" s="85"/>
      <c r="N66" s="85"/>
    </row>
    <row r="67" spans="1:14" x14ac:dyDescent="0.2">
      <c r="A67" s="75"/>
      <c r="B67" s="75"/>
      <c r="C67" s="75"/>
      <c r="D67" s="6"/>
      <c r="E67" s="6"/>
      <c r="F67" s="6"/>
      <c r="G67" s="6"/>
      <c r="H67" s="6"/>
      <c r="I67" s="85"/>
      <c r="J67" s="85"/>
      <c r="K67" s="85"/>
      <c r="L67" s="85"/>
      <c r="M67" s="85"/>
      <c r="N67" s="85"/>
    </row>
    <row r="68" spans="1:14" x14ac:dyDescent="0.2">
      <c r="A68" s="75"/>
      <c r="B68" s="87"/>
      <c r="C68" s="87"/>
      <c r="D68" s="6"/>
      <c r="E68" s="6"/>
      <c r="F68" s="6"/>
      <c r="G68" s="6"/>
      <c r="H68" s="6"/>
      <c r="I68" s="85"/>
      <c r="J68" s="85"/>
      <c r="K68" s="85"/>
      <c r="L68" s="85"/>
      <c r="M68" s="85"/>
      <c r="N68" s="85"/>
    </row>
    <row r="69" spans="1:14" x14ac:dyDescent="0.2">
      <c r="A69" s="75"/>
      <c r="B69" s="75"/>
      <c r="C69" s="75"/>
      <c r="D69" s="6"/>
      <c r="E69" s="6"/>
      <c r="F69" s="6"/>
      <c r="G69" s="6"/>
      <c r="H69" s="6"/>
      <c r="I69" s="85"/>
      <c r="J69" s="85"/>
      <c r="K69" s="85"/>
      <c r="L69" s="85"/>
      <c r="M69" s="85"/>
      <c r="N69" s="85"/>
    </row>
    <row r="70" spans="1:14" x14ac:dyDescent="0.2">
      <c r="A70" s="75"/>
      <c r="B70" s="75"/>
      <c r="C70" s="75"/>
      <c r="D70" s="6"/>
      <c r="E70" s="6"/>
      <c r="F70" s="6"/>
      <c r="G70" s="6"/>
      <c r="H70" s="6"/>
      <c r="I70" s="85"/>
      <c r="J70" s="85"/>
      <c r="K70" s="85"/>
      <c r="L70" s="85"/>
      <c r="M70" s="85"/>
      <c r="N70" s="85"/>
    </row>
    <row r="71" spans="1:14" x14ac:dyDescent="0.2">
      <c r="A71" s="87"/>
      <c r="B71" s="87"/>
      <c r="C71" s="87"/>
      <c r="D71" s="6"/>
      <c r="E71" s="6"/>
      <c r="F71" s="6"/>
      <c r="G71" s="6"/>
      <c r="H71" s="6"/>
      <c r="I71" s="85"/>
      <c r="J71" s="85"/>
      <c r="K71" s="85"/>
      <c r="L71" s="85"/>
      <c r="M71" s="85"/>
      <c r="N71" s="85"/>
    </row>
    <row r="72" spans="1:14" x14ac:dyDescent="0.2">
      <c r="A72" s="92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</row>
    <row r="73" spans="1:14" x14ac:dyDescent="0.2">
      <c r="A73" s="93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</row>
    <row r="74" spans="1:14" ht="18.75" customHeight="1" x14ac:dyDescent="0.2">
      <c r="A74" s="75"/>
      <c r="B74" s="6"/>
      <c r="C74" s="6"/>
      <c r="D74" s="75"/>
      <c r="E74" s="75"/>
      <c r="F74" s="75"/>
      <c r="G74" s="75"/>
      <c r="H74" s="75"/>
      <c r="I74" s="85"/>
      <c r="J74" s="85"/>
      <c r="K74" s="85"/>
      <c r="L74" s="85"/>
      <c r="M74" s="85"/>
      <c r="N74" s="85"/>
    </row>
    <row r="75" spans="1:14" ht="18.75" customHeight="1" x14ac:dyDescent="0.2">
      <c r="A75" s="75"/>
      <c r="B75" s="6"/>
      <c r="C75" s="6"/>
      <c r="D75" s="75"/>
      <c r="E75" s="75"/>
      <c r="F75" s="75"/>
      <c r="G75" s="75"/>
      <c r="H75" s="75"/>
      <c r="I75" s="85"/>
      <c r="J75" s="85"/>
      <c r="K75" s="85"/>
      <c r="L75" s="85"/>
      <c r="M75" s="85"/>
      <c r="N75" s="85"/>
    </row>
    <row r="76" spans="1:14" ht="15.75" customHeight="1" x14ac:dyDescent="0.2">
      <c r="A76" s="75"/>
      <c r="B76" s="75"/>
      <c r="C76" s="75"/>
      <c r="D76" s="75"/>
      <c r="E76" s="75"/>
      <c r="F76" s="75"/>
      <c r="G76" s="75"/>
      <c r="H76" s="6"/>
      <c r="I76" s="85"/>
      <c r="J76" s="85"/>
      <c r="K76" s="85"/>
      <c r="L76" s="85"/>
      <c r="M76" s="85"/>
      <c r="N76" s="85"/>
    </row>
    <row r="77" spans="1:14" ht="15.75" customHeight="1" x14ac:dyDescent="0.2">
      <c r="A77" s="75"/>
      <c r="B77" s="75"/>
      <c r="C77" s="75"/>
      <c r="D77" s="75"/>
      <c r="E77" s="75"/>
      <c r="F77" s="75"/>
      <c r="G77" s="75"/>
      <c r="H77" s="6"/>
      <c r="I77" s="85"/>
      <c r="J77" s="85"/>
      <c r="K77" s="85"/>
      <c r="L77" s="85"/>
      <c r="M77" s="85"/>
      <c r="N77" s="85"/>
    </row>
    <row r="78" spans="1:14" x14ac:dyDescent="0.2">
      <c r="A78" s="75"/>
      <c r="B78" s="75"/>
      <c r="C78" s="75"/>
      <c r="D78" s="75"/>
      <c r="E78" s="75"/>
      <c r="F78" s="75"/>
      <c r="G78" s="75"/>
      <c r="H78" s="75"/>
      <c r="I78" s="85"/>
      <c r="J78" s="85"/>
      <c r="K78" s="85"/>
      <c r="L78" s="85"/>
      <c r="M78" s="85"/>
      <c r="N78" s="85"/>
    </row>
    <row r="79" spans="1:14" x14ac:dyDescent="0.2">
      <c r="A79" s="88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</row>
    <row r="80" spans="1:14" x14ac:dyDescent="0.2">
      <c r="A80" s="75"/>
      <c r="B80" s="75"/>
      <c r="C80" s="75"/>
      <c r="D80" s="94"/>
      <c r="E80" s="95"/>
      <c r="F80" s="95"/>
      <c r="G80" s="6"/>
      <c r="H80" s="6"/>
      <c r="I80" s="85"/>
      <c r="J80" s="85"/>
      <c r="K80" s="85"/>
      <c r="L80" s="85"/>
      <c r="M80" s="85"/>
      <c r="N80" s="85"/>
    </row>
    <row r="81" spans="1:14" x14ac:dyDescent="0.2">
      <c r="A81" s="75"/>
      <c r="B81" s="75"/>
      <c r="C81" s="75"/>
      <c r="D81" s="94"/>
      <c r="E81" s="95"/>
      <c r="F81" s="95"/>
      <c r="G81" s="6"/>
      <c r="H81" s="6"/>
      <c r="I81" s="85"/>
      <c r="J81" s="85"/>
      <c r="K81" s="85"/>
      <c r="L81" s="85"/>
      <c r="M81" s="85"/>
      <c r="N81" s="85"/>
    </row>
    <row r="82" spans="1:14" x14ac:dyDescent="0.2">
      <c r="A82" s="75"/>
      <c r="B82" s="87"/>
      <c r="C82" s="87"/>
      <c r="D82" s="94"/>
      <c r="E82" s="95"/>
      <c r="F82" s="95"/>
      <c r="G82" s="6"/>
      <c r="H82" s="6"/>
      <c r="I82" s="85"/>
      <c r="J82" s="85"/>
      <c r="K82" s="85"/>
      <c r="L82" s="85"/>
      <c r="M82" s="85"/>
      <c r="N82" s="85"/>
    </row>
    <row r="83" spans="1:14" x14ac:dyDescent="0.2">
      <c r="A83" s="75"/>
      <c r="B83" s="75"/>
      <c r="C83" s="75"/>
      <c r="D83" s="94"/>
      <c r="E83" s="95"/>
      <c r="F83" s="95"/>
      <c r="G83" s="6"/>
      <c r="H83" s="6"/>
      <c r="I83" s="85"/>
      <c r="J83" s="85"/>
      <c r="K83" s="85"/>
      <c r="L83" s="85"/>
      <c r="M83" s="85"/>
      <c r="N83" s="85"/>
    </row>
    <row r="84" spans="1:14" x14ac:dyDescent="0.2">
      <c r="A84" s="75"/>
      <c r="B84" s="75"/>
      <c r="C84" s="75"/>
      <c r="D84" s="94"/>
      <c r="E84" s="95"/>
      <c r="F84" s="95"/>
      <c r="G84" s="6"/>
      <c r="H84" s="6"/>
      <c r="I84" s="85"/>
      <c r="J84" s="85"/>
      <c r="K84" s="85"/>
      <c r="L84" s="85"/>
      <c r="M84" s="85"/>
      <c r="N84" s="85"/>
    </row>
    <row r="85" spans="1:14" x14ac:dyDescent="0.2">
      <c r="A85" s="87"/>
      <c r="B85" s="87"/>
      <c r="C85" s="87"/>
      <c r="D85" s="94"/>
      <c r="E85" s="95"/>
      <c r="F85" s="95"/>
      <c r="G85" s="6"/>
      <c r="H85" s="6"/>
      <c r="I85" s="85"/>
      <c r="J85" s="85"/>
      <c r="K85" s="85"/>
      <c r="L85" s="85"/>
      <c r="M85" s="85"/>
      <c r="N85" s="85"/>
    </row>
    <row r="86" spans="1:14" x14ac:dyDescent="0.2">
      <c r="A86" s="88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</row>
    <row r="87" spans="1:14" x14ac:dyDescent="0.2">
      <c r="A87" s="75"/>
      <c r="B87" s="75"/>
      <c r="C87" s="75"/>
      <c r="D87" s="94"/>
      <c r="E87" s="95"/>
      <c r="F87" s="95"/>
      <c r="G87" s="6"/>
      <c r="H87" s="94"/>
      <c r="I87" s="85"/>
      <c r="J87" s="85"/>
      <c r="K87" s="85"/>
      <c r="L87" s="85"/>
      <c r="M87" s="85"/>
      <c r="N87" s="85"/>
    </row>
    <row r="88" spans="1:14" x14ac:dyDescent="0.2">
      <c r="A88" s="75"/>
      <c r="B88" s="75"/>
      <c r="C88" s="75"/>
      <c r="D88" s="94"/>
      <c r="E88" s="95"/>
      <c r="F88" s="95"/>
      <c r="G88" s="6"/>
      <c r="H88" s="94"/>
      <c r="I88" s="85"/>
      <c r="J88" s="85"/>
      <c r="K88" s="85"/>
      <c r="L88" s="85"/>
      <c r="M88" s="85"/>
      <c r="N88" s="85"/>
    </row>
    <row r="89" spans="1:14" x14ac:dyDescent="0.2">
      <c r="A89" s="75"/>
      <c r="B89" s="87"/>
      <c r="C89" s="87"/>
      <c r="D89" s="94"/>
      <c r="E89" s="95"/>
      <c r="F89" s="95"/>
      <c r="G89" s="6"/>
      <c r="H89" s="94"/>
      <c r="I89" s="85"/>
      <c r="J89" s="85"/>
      <c r="K89" s="85"/>
      <c r="L89" s="85"/>
      <c r="M89" s="85"/>
      <c r="N89" s="85"/>
    </row>
    <row r="90" spans="1:14" x14ac:dyDescent="0.2">
      <c r="A90" s="75"/>
      <c r="B90" s="75"/>
      <c r="C90" s="75"/>
      <c r="D90" s="94"/>
      <c r="E90" s="95"/>
      <c r="F90" s="95"/>
      <c r="G90" s="6"/>
      <c r="H90" s="94"/>
      <c r="I90" s="85"/>
      <c r="J90" s="85"/>
      <c r="K90" s="85"/>
      <c r="L90" s="85"/>
      <c r="M90" s="85"/>
      <c r="N90" s="85"/>
    </row>
    <row r="91" spans="1:14" x14ac:dyDescent="0.2">
      <c r="A91" s="75"/>
      <c r="B91" s="75"/>
      <c r="C91" s="75"/>
      <c r="D91" s="94"/>
      <c r="E91" s="95"/>
      <c r="F91" s="95"/>
      <c r="G91" s="6"/>
      <c r="H91" s="94"/>
      <c r="I91" s="85"/>
      <c r="J91" s="85"/>
      <c r="K91" s="85"/>
      <c r="L91" s="85"/>
      <c r="M91" s="85"/>
      <c r="N91" s="85"/>
    </row>
    <row r="92" spans="1:14" x14ac:dyDescent="0.2">
      <c r="A92" s="87"/>
      <c r="B92" s="87"/>
      <c r="C92" s="87"/>
      <c r="D92" s="94"/>
      <c r="E92" s="95"/>
      <c r="F92" s="95"/>
      <c r="G92" s="6"/>
      <c r="H92" s="94"/>
      <c r="I92" s="85"/>
      <c r="J92" s="85"/>
      <c r="K92" s="85"/>
      <c r="L92" s="85"/>
      <c r="M92" s="85"/>
      <c r="N92" s="85"/>
    </row>
    <row r="93" spans="1:14" x14ac:dyDescent="0.2">
      <c r="A93" s="90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</row>
    <row r="94" spans="1:14" x14ac:dyDescent="0.2">
      <c r="A94" s="75"/>
      <c r="B94" s="75"/>
      <c r="C94" s="75"/>
      <c r="D94" s="94"/>
      <c r="E94" s="95"/>
      <c r="F94" s="95"/>
      <c r="G94" s="6"/>
      <c r="H94" s="94"/>
      <c r="I94" s="85"/>
      <c r="J94" s="85"/>
      <c r="K94" s="85"/>
      <c r="L94" s="85"/>
      <c r="M94" s="85"/>
      <c r="N94" s="85"/>
    </row>
    <row r="95" spans="1:14" x14ac:dyDescent="0.2">
      <c r="A95" s="75"/>
      <c r="B95" s="75"/>
      <c r="C95" s="75"/>
      <c r="D95" s="94"/>
      <c r="E95" s="95"/>
      <c r="F95" s="95"/>
      <c r="G95" s="6"/>
      <c r="H95" s="94"/>
      <c r="I95" s="85"/>
      <c r="J95" s="85"/>
      <c r="K95" s="85"/>
      <c r="L95" s="85"/>
      <c r="M95" s="85"/>
      <c r="N95" s="85"/>
    </row>
    <row r="96" spans="1:14" x14ac:dyDescent="0.2">
      <c r="A96" s="75"/>
      <c r="B96" s="87"/>
      <c r="C96" s="87"/>
      <c r="D96" s="94"/>
      <c r="E96" s="95"/>
      <c r="F96" s="95"/>
      <c r="G96" s="6"/>
      <c r="H96" s="94"/>
      <c r="I96" s="85"/>
      <c r="J96" s="85"/>
      <c r="K96" s="85"/>
      <c r="L96" s="85"/>
      <c r="M96" s="85"/>
      <c r="N96" s="85"/>
    </row>
    <row r="97" spans="1:14" x14ac:dyDescent="0.2">
      <c r="A97" s="75"/>
      <c r="B97" s="75"/>
      <c r="C97" s="75"/>
      <c r="D97" s="94"/>
      <c r="E97" s="95"/>
      <c r="F97" s="95"/>
      <c r="G97" s="6"/>
      <c r="H97" s="94"/>
      <c r="I97" s="85"/>
      <c r="J97" s="85"/>
      <c r="K97" s="85"/>
      <c r="L97" s="85"/>
      <c r="M97" s="85"/>
      <c r="N97" s="85"/>
    </row>
    <row r="98" spans="1:14" x14ac:dyDescent="0.2">
      <c r="A98" s="75"/>
      <c r="B98" s="75"/>
      <c r="C98" s="75"/>
      <c r="D98" s="94"/>
      <c r="E98" s="95"/>
      <c r="F98" s="95"/>
      <c r="G98" s="6"/>
      <c r="H98" s="94"/>
      <c r="I98" s="85"/>
      <c r="J98" s="85"/>
      <c r="K98" s="85"/>
      <c r="L98" s="85"/>
      <c r="M98" s="85"/>
      <c r="N98" s="85"/>
    </row>
    <row r="99" spans="1:14" x14ac:dyDescent="0.2">
      <c r="A99" s="87"/>
      <c r="B99" s="87"/>
      <c r="C99" s="87"/>
      <c r="D99" s="94"/>
      <c r="E99" s="95"/>
      <c r="F99" s="95"/>
      <c r="G99" s="6"/>
      <c r="H99" s="94"/>
      <c r="I99" s="85"/>
      <c r="J99" s="85"/>
      <c r="K99" s="85"/>
      <c r="L99" s="85"/>
      <c r="M99" s="85"/>
      <c r="N99" s="85"/>
    </row>
    <row r="100" spans="1:14" x14ac:dyDescent="0.2">
      <c r="A100" s="91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</row>
    <row r="101" spans="1:14" x14ac:dyDescent="0.2">
      <c r="A101" s="91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</row>
    <row r="102" spans="1:14" x14ac:dyDescent="0.2">
      <c r="A102" s="91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x14ac:dyDescent="0.2">
      <c r="A103" s="91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</row>
    <row r="104" spans="1:14" x14ac:dyDescent="0.2">
      <c r="A104" s="91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  <row r="105" spans="1:14" x14ac:dyDescent="0.2">
      <c r="A105" s="92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</row>
    <row r="106" spans="1:14" x14ac:dyDescent="0.2">
      <c r="A106" s="90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</row>
    <row r="107" spans="1:14" ht="31.5" customHeight="1" x14ac:dyDescent="0.2">
      <c r="A107" s="6"/>
      <c r="B107" s="6"/>
      <c r="C107" s="6"/>
      <c r="D107" s="76"/>
      <c r="E107" s="76"/>
      <c r="F107" s="76"/>
      <c r="G107" s="85"/>
      <c r="H107" s="85"/>
      <c r="I107" s="85"/>
      <c r="J107" s="85"/>
      <c r="K107" s="85"/>
      <c r="L107" s="85"/>
      <c r="M107" s="85"/>
      <c r="N107" s="85"/>
    </row>
    <row r="108" spans="1:14" ht="31.5" customHeight="1" x14ac:dyDescent="0.2">
      <c r="A108" s="6"/>
      <c r="B108" s="6"/>
      <c r="C108" s="6"/>
      <c r="D108" s="6"/>
      <c r="E108" s="6"/>
      <c r="F108" s="6"/>
      <c r="G108" s="85"/>
      <c r="H108" s="85"/>
      <c r="I108" s="85"/>
      <c r="J108" s="85"/>
      <c r="K108" s="85"/>
      <c r="L108" s="85"/>
      <c r="M108" s="85"/>
      <c r="N108" s="85"/>
    </row>
    <row r="109" spans="1:14" ht="15.75" customHeight="1" x14ac:dyDescent="0.2">
      <c r="A109" s="75"/>
      <c r="B109" s="75"/>
      <c r="C109" s="75"/>
      <c r="D109" s="75"/>
      <c r="E109" s="75"/>
      <c r="F109" s="75"/>
      <c r="G109" s="85"/>
      <c r="H109" s="85"/>
      <c r="I109" s="85"/>
      <c r="J109" s="85"/>
      <c r="K109" s="85"/>
      <c r="L109" s="85"/>
      <c r="M109" s="85"/>
      <c r="N109" s="85"/>
    </row>
    <row r="110" spans="1:14" ht="15" customHeight="1" x14ac:dyDescent="0.2">
      <c r="A110" s="75"/>
      <c r="B110" s="75"/>
      <c r="C110" s="75"/>
      <c r="D110" s="75"/>
      <c r="E110" s="75"/>
      <c r="F110" s="75"/>
      <c r="G110" s="85"/>
      <c r="H110" s="85"/>
      <c r="I110" s="85"/>
      <c r="J110" s="85"/>
      <c r="K110" s="85"/>
      <c r="L110" s="85"/>
      <c r="M110" s="85"/>
      <c r="N110" s="85"/>
    </row>
    <row r="111" spans="1:14" x14ac:dyDescent="0.2">
      <c r="A111" s="75"/>
      <c r="B111" s="75"/>
      <c r="C111" s="75"/>
      <c r="D111" s="75"/>
      <c r="E111" s="75"/>
      <c r="F111" s="75"/>
      <c r="G111" s="85"/>
      <c r="H111" s="85"/>
      <c r="I111" s="85"/>
      <c r="J111" s="85"/>
      <c r="K111" s="85"/>
      <c r="L111" s="85"/>
      <c r="M111" s="85"/>
      <c r="N111" s="85"/>
    </row>
    <row r="112" spans="1:14" x14ac:dyDescent="0.2">
      <c r="A112" s="88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</row>
    <row r="113" spans="1:14" x14ac:dyDescent="0.2">
      <c r="A113" s="75"/>
      <c r="B113" s="75"/>
      <c r="C113" s="75"/>
      <c r="D113" s="6"/>
      <c r="E113" s="6"/>
      <c r="F113" s="6"/>
      <c r="G113" s="85"/>
      <c r="H113" s="85"/>
      <c r="I113" s="85"/>
      <c r="J113" s="85"/>
      <c r="K113" s="85"/>
      <c r="L113" s="85"/>
      <c r="M113" s="85"/>
      <c r="N113" s="85"/>
    </row>
    <row r="114" spans="1:14" x14ac:dyDescent="0.2">
      <c r="A114" s="75"/>
      <c r="B114" s="75"/>
      <c r="C114" s="75"/>
      <c r="D114" s="6"/>
      <c r="E114" s="6"/>
      <c r="F114" s="6"/>
      <c r="G114" s="85"/>
      <c r="H114" s="85"/>
      <c r="I114" s="85"/>
      <c r="J114" s="85"/>
      <c r="K114" s="85"/>
      <c r="L114" s="85"/>
      <c r="M114" s="85"/>
      <c r="N114" s="85"/>
    </row>
    <row r="115" spans="1:14" x14ac:dyDescent="0.2">
      <c r="A115" s="75"/>
      <c r="B115" s="87"/>
      <c r="C115" s="87"/>
      <c r="D115" s="6"/>
      <c r="E115" s="6"/>
      <c r="F115" s="6"/>
      <c r="G115" s="85"/>
      <c r="H115" s="85"/>
      <c r="I115" s="85"/>
      <c r="J115" s="85"/>
      <c r="K115" s="85"/>
      <c r="L115" s="85"/>
      <c r="M115" s="85"/>
      <c r="N115" s="85"/>
    </row>
    <row r="116" spans="1:14" x14ac:dyDescent="0.2">
      <c r="A116" s="75"/>
      <c r="B116" s="75"/>
      <c r="C116" s="75"/>
      <c r="D116" s="6"/>
      <c r="E116" s="6"/>
      <c r="F116" s="6"/>
      <c r="G116" s="85"/>
      <c r="H116" s="85"/>
      <c r="I116" s="85"/>
      <c r="J116" s="85"/>
      <c r="K116" s="85"/>
      <c r="L116" s="85"/>
      <c r="M116" s="85"/>
      <c r="N116" s="85"/>
    </row>
    <row r="117" spans="1:14" x14ac:dyDescent="0.2">
      <c r="A117" s="75"/>
      <c r="B117" s="75"/>
      <c r="C117" s="75"/>
      <c r="D117" s="6"/>
      <c r="E117" s="6"/>
      <c r="F117" s="6"/>
      <c r="G117" s="85"/>
      <c r="H117" s="85"/>
      <c r="I117" s="85"/>
      <c r="J117" s="85"/>
      <c r="K117" s="85"/>
      <c r="L117" s="85"/>
      <c r="M117" s="85"/>
      <c r="N117" s="85"/>
    </row>
    <row r="118" spans="1:14" x14ac:dyDescent="0.2">
      <c r="A118" s="87"/>
      <c r="B118" s="87"/>
      <c r="C118" s="87"/>
      <c r="D118" s="6"/>
      <c r="E118" s="6"/>
      <c r="F118" s="6"/>
      <c r="G118" s="85"/>
      <c r="H118" s="85"/>
      <c r="I118" s="85"/>
      <c r="J118" s="85"/>
      <c r="K118" s="85"/>
      <c r="L118" s="85"/>
      <c r="M118" s="85"/>
      <c r="N118" s="85"/>
    </row>
    <row r="119" spans="1:14" x14ac:dyDescent="0.2">
      <c r="A119" s="88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</row>
    <row r="120" spans="1:14" x14ac:dyDescent="0.2">
      <c r="A120" s="75"/>
      <c r="B120" s="75"/>
      <c r="C120" s="75"/>
      <c r="D120" s="6"/>
      <c r="E120" s="6"/>
      <c r="F120" s="6"/>
      <c r="G120" s="85"/>
      <c r="H120" s="85"/>
      <c r="I120" s="85"/>
      <c r="J120" s="85"/>
      <c r="K120" s="85"/>
      <c r="L120" s="85"/>
      <c r="M120" s="85"/>
      <c r="N120" s="85"/>
    </row>
    <row r="121" spans="1:14" x14ac:dyDescent="0.2">
      <c r="A121" s="75"/>
      <c r="B121" s="75"/>
      <c r="C121" s="75"/>
      <c r="D121" s="6"/>
      <c r="E121" s="6"/>
      <c r="F121" s="6"/>
      <c r="G121" s="85"/>
      <c r="H121" s="85"/>
      <c r="I121" s="85"/>
      <c r="J121" s="85"/>
      <c r="K121" s="85"/>
      <c r="L121" s="85"/>
      <c r="M121" s="85"/>
      <c r="N121" s="85"/>
    </row>
    <row r="122" spans="1:14" x14ac:dyDescent="0.2">
      <c r="A122" s="75"/>
      <c r="B122" s="87"/>
      <c r="C122" s="87"/>
      <c r="D122" s="6"/>
      <c r="E122" s="6"/>
      <c r="F122" s="6"/>
      <c r="G122" s="85"/>
      <c r="H122" s="85"/>
      <c r="I122" s="85"/>
      <c r="J122" s="85"/>
      <c r="K122" s="85"/>
      <c r="L122" s="85"/>
      <c r="M122" s="85"/>
      <c r="N122" s="85"/>
    </row>
    <row r="123" spans="1:14" x14ac:dyDescent="0.2">
      <c r="A123" s="75"/>
      <c r="B123" s="75"/>
      <c r="C123" s="75"/>
      <c r="D123" s="6"/>
      <c r="E123" s="6"/>
      <c r="F123" s="6"/>
      <c r="G123" s="85"/>
      <c r="H123" s="85"/>
      <c r="I123" s="85"/>
      <c r="J123" s="85"/>
      <c r="K123" s="85"/>
      <c r="L123" s="85"/>
      <c r="M123" s="85"/>
      <c r="N123" s="85"/>
    </row>
    <row r="124" spans="1:14" x14ac:dyDescent="0.2">
      <c r="A124" s="75"/>
      <c r="B124" s="75"/>
      <c r="C124" s="75"/>
      <c r="D124" s="6"/>
      <c r="E124" s="6"/>
      <c r="F124" s="6"/>
      <c r="G124" s="85"/>
      <c r="H124" s="85"/>
      <c r="I124" s="85"/>
      <c r="J124" s="85"/>
      <c r="K124" s="85"/>
      <c r="L124" s="85"/>
      <c r="M124" s="85"/>
      <c r="N124" s="85"/>
    </row>
    <row r="125" spans="1:14" x14ac:dyDescent="0.2">
      <c r="A125" s="87"/>
      <c r="B125" s="87"/>
      <c r="C125" s="87"/>
      <c r="D125" s="6"/>
      <c r="E125" s="6"/>
      <c r="F125" s="6"/>
      <c r="G125" s="85"/>
      <c r="H125" s="85"/>
      <c r="I125" s="85"/>
      <c r="J125" s="85"/>
      <c r="K125" s="85"/>
      <c r="L125" s="85"/>
      <c r="M125" s="85"/>
      <c r="N125" s="85"/>
    </row>
    <row r="126" spans="1:14" x14ac:dyDescent="0.2">
      <c r="A126" s="90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</row>
    <row r="127" spans="1:14" x14ac:dyDescent="0.2">
      <c r="A127" s="75"/>
      <c r="B127" s="75"/>
      <c r="C127" s="75"/>
      <c r="D127" s="6"/>
      <c r="E127" s="6"/>
      <c r="F127" s="6"/>
      <c r="G127" s="85"/>
      <c r="H127" s="85"/>
      <c r="I127" s="85"/>
      <c r="J127" s="85"/>
      <c r="K127" s="85"/>
      <c r="L127" s="85"/>
      <c r="M127" s="85"/>
      <c r="N127" s="85"/>
    </row>
    <row r="128" spans="1:14" x14ac:dyDescent="0.2">
      <c r="A128" s="75"/>
      <c r="B128" s="75"/>
      <c r="C128" s="75"/>
      <c r="D128" s="6"/>
      <c r="E128" s="6"/>
      <c r="F128" s="6"/>
      <c r="G128" s="85"/>
      <c r="H128" s="85"/>
      <c r="I128" s="85"/>
      <c r="J128" s="85"/>
      <c r="K128" s="85"/>
      <c r="L128" s="85"/>
      <c r="M128" s="85"/>
      <c r="N128" s="85"/>
    </row>
    <row r="129" spans="1:14" x14ac:dyDescent="0.2">
      <c r="A129" s="75"/>
      <c r="B129" s="87"/>
      <c r="C129" s="87"/>
      <c r="D129" s="6"/>
      <c r="E129" s="6"/>
      <c r="F129" s="6"/>
      <c r="G129" s="85"/>
      <c r="H129" s="85"/>
      <c r="I129" s="85"/>
      <c r="J129" s="85"/>
      <c r="K129" s="85"/>
      <c r="L129" s="85"/>
      <c r="M129" s="85"/>
      <c r="N129" s="85"/>
    </row>
    <row r="130" spans="1:14" x14ac:dyDescent="0.2">
      <c r="A130" s="75"/>
      <c r="B130" s="75"/>
      <c r="C130" s="75"/>
      <c r="D130" s="6"/>
      <c r="E130" s="6"/>
      <c r="F130" s="6"/>
      <c r="G130" s="85"/>
      <c r="H130" s="85"/>
      <c r="I130" s="85"/>
      <c r="J130" s="85"/>
      <c r="K130" s="85"/>
      <c r="L130" s="85"/>
      <c r="M130" s="85"/>
      <c r="N130" s="85"/>
    </row>
    <row r="131" spans="1:14" x14ac:dyDescent="0.2">
      <c r="A131" s="75"/>
      <c r="B131" s="75"/>
      <c r="C131" s="75"/>
      <c r="D131" s="6"/>
      <c r="E131" s="6"/>
      <c r="F131" s="6"/>
      <c r="G131" s="85"/>
      <c r="H131" s="85"/>
      <c r="I131" s="85"/>
      <c r="J131" s="85"/>
      <c r="K131" s="85"/>
      <c r="L131" s="85"/>
      <c r="M131" s="85"/>
      <c r="N131" s="85"/>
    </row>
    <row r="132" spans="1:14" x14ac:dyDescent="0.2">
      <c r="A132" s="87"/>
      <c r="B132" s="87"/>
      <c r="C132" s="87"/>
      <c r="D132" s="6"/>
      <c r="E132" s="6"/>
      <c r="F132" s="6"/>
      <c r="G132" s="85"/>
      <c r="H132" s="85"/>
      <c r="I132" s="85"/>
      <c r="J132" s="85"/>
      <c r="K132" s="85"/>
      <c r="L132" s="85"/>
      <c r="M132" s="85"/>
      <c r="N132" s="85"/>
    </row>
    <row r="133" spans="1:14" x14ac:dyDescent="0.2">
      <c r="A133" s="89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</row>
    <row r="134" spans="1:14" x14ac:dyDescent="0.2">
      <c r="A134" s="89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</row>
    <row r="135" spans="1:14" x14ac:dyDescent="0.2">
      <c r="A135" s="89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</row>
    <row r="136" spans="1:14" x14ac:dyDescent="0.2">
      <c r="A136" s="89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</row>
    <row r="137" spans="1:14" x14ac:dyDescent="0.2">
      <c r="A137" s="89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</row>
    <row r="138" spans="1:14" x14ac:dyDescent="0.2">
      <c r="A138" s="89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</row>
    <row r="139" spans="1:14" x14ac:dyDescent="0.2">
      <c r="A139" s="89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</row>
    <row r="140" spans="1:14" x14ac:dyDescent="0.2">
      <c r="A140" s="89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</row>
    <row r="141" spans="1:14" ht="15.75" customHeight="1" x14ac:dyDescent="0.2">
      <c r="A141" s="75"/>
      <c r="B141" s="6"/>
      <c r="C141" s="6"/>
      <c r="D141" s="96"/>
      <c r="E141" s="96"/>
      <c r="F141" s="96"/>
      <c r="G141" s="96"/>
      <c r="H141" s="96"/>
      <c r="I141" s="96"/>
      <c r="J141" s="96"/>
      <c r="K141" s="85"/>
      <c r="L141" s="85"/>
      <c r="M141" s="85"/>
      <c r="N141" s="85"/>
    </row>
    <row r="142" spans="1:14" x14ac:dyDescent="0.2">
      <c r="A142" s="75"/>
      <c r="B142" s="6"/>
      <c r="C142" s="6"/>
      <c r="D142" s="96"/>
      <c r="E142" s="96"/>
      <c r="F142" s="96"/>
      <c r="G142" s="96"/>
      <c r="H142" s="96"/>
      <c r="I142" s="96"/>
      <c r="J142" s="96"/>
      <c r="K142" s="85"/>
      <c r="L142" s="85"/>
      <c r="M142" s="85"/>
      <c r="N142" s="85"/>
    </row>
    <row r="143" spans="1:14" ht="15.75" customHeight="1" x14ac:dyDescent="0.2">
      <c r="A143" s="75"/>
      <c r="B143" s="75"/>
      <c r="C143" s="75"/>
      <c r="D143" s="76"/>
      <c r="E143" s="76"/>
      <c r="F143" s="76"/>
      <c r="G143" s="97"/>
      <c r="H143" s="97"/>
      <c r="I143" s="97"/>
      <c r="J143" s="97"/>
      <c r="K143" s="85"/>
      <c r="L143" s="85"/>
      <c r="M143" s="85"/>
      <c r="N143" s="85"/>
    </row>
    <row r="144" spans="1:14" x14ac:dyDescent="0.2">
      <c r="A144" s="75"/>
      <c r="B144" s="75"/>
      <c r="C144" s="75"/>
      <c r="D144" s="98"/>
      <c r="E144" s="98"/>
      <c r="F144" s="98"/>
      <c r="G144" s="97"/>
      <c r="H144" s="97"/>
      <c r="I144" s="97"/>
      <c r="J144" s="97"/>
      <c r="K144" s="85"/>
      <c r="L144" s="85"/>
      <c r="M144" s="85"/>
      <c r="N144" s="85"/>
    </row>
    <row r="145" spans="1:14" ht="15.75" customHeight="1" x14ac:dyDescent="0.2">
      <c r="A145" s="75"/>
      <c r="B145" s="75"/>
      <c r="C145" s="75"/>
      <c r="D145" s="75"/>
      <c r="E145" s="75"/>
      <c r="F145" s="75"/>
      <c r="G145" s="75"/>
      <c r="H145" s="75"/>
      <c r="I145" s="75"/>
      <c r="J145" s="6"/>
      <c r="K145" s="85"/>
      <c r="L145" s="85"/>
      <c r="M145" s="85"/>
      <c r="N145" s="85"/>
    </row>
    <row r="146" spans="1:14" ht="15.75" customHeight="1" x14ac:dyDescent="0.2">
      <c r="A146" s="75"/>
      <c r="B146" s="75"/>
      <c r="C146" s="75"/>
      <c r="D146" s="75"/>
      <c r="E146" s="75"/>
      <c r="F146" s="75"/>
      <c r="G146" s="75"/>
      <c r="H146" s="75"/>
      <c r="I146" s="75"/>
      <c r="J146" s="6"/>
      <c r="K146" s="85"/>
      <c r="L146" s="85"/>
      <c r="M146" s="85"/>
      <c r="N146" s="85"/>
    </row>
    <row r="147" spans="1:14" x14ac:dyDescent="0.2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85"/>
      <c r="L147" s="85"/>
      <c r="M147" s="85"/>
      <c r="N147" s="85"/>
    </row>
    <row r="148" spans="1:14" x14ac:dyDescent="0.2">
      <c r="A148" s="88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</row>
    <row r="149" spans="1:14" x14ac:dyDescent="0.2">
      <c r="A149" s="75"/>
      <c r="B149" s="75"/>
      <c r="C149" s="75"/>
      <c r="D149" s="6"/>
      <c r="E149" s="6"/>
      <c r="F149" s="6"/>
      <c r="G149" s="6"/>
      <c r="H149" s="6"/>
      <c r="I149" s="6"/>
      <c r="J149" s="6"/>
      <c r="K149" s="85"/>
      <c r="L149" s="85"/>
      <c r="M149" s="85"/>
      <c r="N149" s="85"/>
    </row>
    <row r="150" spans="1:14" x14ac:dyDescent="0.2">
      <c r="A150" s="75"/>
      <c r="B150" s="75"/>
      <c r="C150" s="75"/>
      <c r="D150" s="6"/>
      <c r="E150" s="6"/>
      <c r="F150" s="6"/>
      <c r="G150" s="6"/>
      <c r="H150" s="6"/>
      <c r="I150" s="6"/>
      <c r="J150" s="6"/>
      <c r="K150" s="85"/>
      <c r="L150" s="85"/>
      <c r="M150" s="85"/>
      <c r="N150" s="85"/>
    </row>
    <row r="151" spans="1:14" x14ac:dyDescent="0.2">
      <c r="A151" s="75"/>
      <c r="B151" s="87"/>
      <c r="C151" s="87"/>
      <c r="D151" s="6"/>
      <c r="E151" s="6"/>
      <c r="F151" s="6"/>
      <c r="G151" s="6"/>
      <c r="H151" s="6"/>
      <c r="I151" s="6"/>
      <c r="J151" s="6"/>
      <c r="K151" s="85"/>
      <c r="L151" s="85"/>
      <c r="M151" s="85"/>
      <c r="N151" s="85"/>
    </row>
    <row r="152" spans="1:14" x14ac:dyDescent="0.2">
      <c r="A152" s="75"/>
      <c r="B152" s="75"/>
      <c r="C152" s="75"/>
      <c r="D152" s="6"/>
      <c r="E152" s="6"/>
      <c r="F152" s="6"/>
      <c r="G152" s="6"/>
      <c r="H152" s="6"/>
      <c r="I152" s="6"/>
      <c r="J152" s="6"/>
      <c r="K152" s="85"/>
      <c r="L152" s="85"/>
      <c r="M152" s="85"/>
      <c r="N152" s="85"/>
    </row>
    <row r="153" spans="1:14" x14ac:dyDescent="0.2">
      <c r="A153" s="75"/>
      <c r="B153" s="75"/>
      <c r="C153" s="75"/>
      <c r="D153" s="6"/>
      <c r="E153" s="6"/>
      <c r="F153" s="6"/>
      <c r="G153" s="6"/>
      <c r="H153" s="6"/>
      <c r="I153" s="6"/>
      <c r="J153" s="6"/>
      <c r="K153" s="85"/>
      <c r="L153" s="85"/>
      <c r="M153" s="85"/>
      <c r="N153" s="85"/>
    </row>
    <row r="154" spans="1:14" x14ac:dyDescent="0.2">
      <c r="A154" s="87"/>
      <c r="B154" s="87"/>
      <c r="C154" s="87"/>
      <c r="D154" s="6"/>
      <c r="E154" s="6"/>
      <c r="F154" s="6"/>
      <c r="G154" s="6"/>
      <c r="H154" s="6"/>
      <c r="I154" s="6"/>
      <c r="J154" s="6"/>
      <c r="K154" s="85"/>
      <c r="L154" s="85"/>
      <c r="M154" s="85"/>
      <c r="N154" s="85"/>
    </row>
    <row r="155" spans="1:14" x14ac:dyDescent="0.2">
      <c r="A155" s="88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</row>
    <row r="156" spans="1:14" x14ac:dyDescent="0.2">
      <c r="A156" s="75"/>
      <c r="B156" s="75"/>
      <c r="C156" s="75"/>
      <c r="D156" s="6"/>
      <c r="E156" s="6"/>
      <c r="F156" s="6"/>
      <c r="G156" s="6"/>
      <c r="H156" s="6"/>
      <c r="I156" s="6"/>
      <c r="J156" s="6"/>
      <c r="K156" s="85"/>
      <c r="L156" s="85"/>
      <c r="M156" s="85"/>
      <c r="N156" s="85"/>
    </row>
    <row r="157" spans="1:14" x14ac:dyDescent="0.2">
      <c r="A157" s="75"/>
      <c r="B157" s="75"/>
      <c r="C157" s="75"/>
      <c r="D157" s="6"/>
      <c r="E157" s="6"/>
      <c r="F157" s="6"/>
      <c r="G157" s="6"/>
      <c r="H157" s="6"/>
      <c r="I157" s="6"/>
      <c r="J157" s="6"/>
      <c r="K157" s="85"/>
      <c r="L157" s="85"/>
      <c r="M157" s="85"/>
      <c r="N157" s="85"/>
    </row>
    <row r="158" spans="1:14" x14ac:dyDescent="0.2">
      <c r="A158" s="75"/>
      <c r="B158" s="87"/>
      <c r="C158" s="87"/>
      <c r="D158" s="6"/>
      <c r="E158" s="6"/>
      <c r="F158" s="6"/>
      <c r="G158" s="6"/>
      <c r="H158" s="6"/>
      <c r="I158" s="6"/>
      <c r="J158" s="6"/>
      <c r="K158" s="85"/>
      <c r="L158" s="85"/>
      <c r="M158" s="85"/>
      <c r="N158" s="85"/>
    </row>
    <row r="159" spans="1:14" x14ac:dyDescent="0.2">
      <c r="A159" s="75"/>
      <c r="B159" s="75"/>
      <c r="C159" s="75"/>
      <c r="D159" s="6"/>
      <c r="E159" s="6"/>
      <c r="F159" s="6"/>
      <c r="G159" s="6"/>
      <c r="H159" s="6"/>
      <c r="I159" s="6"/>
      <c r="J159" s="6"/>
      <c r="K159" s="85"/>
      <c r="L159" s="85"/>
      <c r="M159" s="85"/>
      <c r="N159" s="85"/>
    </row>
    <row r="160" spans="1:14" x14ac:dyDescent="0.2">
      <c r="A160" s="75"/>
      <c r="B160" s="75"/>
      <c r="C160" s="75"/>
      <c r="D160" s="6"/>
      <c r="E160" s="6"/>
      <c r="F160" s="6"/>
      <c r="G160" s="6"/>
      <c r="H160" s="6"/>
      <c r="I160" s="6"/>
      <c r="J160" s="6"/>
      <c r="K160" s="85"/>
      <c r="L160" s="85"/>
      <c r="M160" s="85"/>
      <c r="N160" s="85"/>
    </row>
    <row r="161" spans="1:14" x14ac:dyDescent="0.2">
      <c r="A161" s="87"/>
      <c r="B161" s="87"/>
      <c r="C161" s="87"/>
      <c r="D161" s="6"/>
      <c r="E161" s="6"/>
      <c r="F161" s="6"/>
      <c r="G161" s="6"/>
      <c r="H161" s="6"/>
      <c r="I161" s="6"/>
      <c r="J161" s="6"/>
      <c r="K161" s="85"/>
      <c r="L161" s="85"/>
      <c r="M161" s="85"/>
      <c r="N161" s="85"/>
    </row>
    <row r="162" spans="1:14" x14ac:dyDescent="0.2">
      <c r="A162" s="90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</row>
    <row r="163" spans="1:14" x14ac:dyDescent="0.2">
      <c r="A163" s="75"/>
      <c r="B163" s="75"/>
      <c r="C163" s="75"/>
      <c r="D163" s="6"/>
      <c r="E163" s="6"/>
      <c r="F163" s="6"/>
      <c r="G163" s="6"/>
      <c r="H163" s="6"/>
      <c r="I163" s="6"/>
      <c r="J163" s="6"/>
      <c r="K163" s="85"/>
      <c r="L163" s="85"/>
      <c r="M163" s="85"/>
      <c r="N163" s="85"/>
    </row>
    <row r="164" spans="1:14" x14ac:dyDescent="0.2">
      <c r="A164" s="75"/>
      <c r="B164" s="75"/>
      <c r="C164" s="75"/>
      <c r="D164" s="6"/>
      <c r="E164" s="6"/>
      <c r="F164" s="6"/>
      <c r="G164" s="6"/>
      <c r="H164" s="6"/>
      <c r="I164" s="6"/>
      <c r="J164" s="6"/>
      <c r="K164" s="85"/>
      <c r="L164" s="85"/>
      <c r="M164" s="85"/>
      <c r="N164" s="85"/>
    </row>
    <row r="165" spans="1:14" x14ac:dyDescent="0.2">
      <c r="A165" s="75"/>
      <c r="B165" s="87"/>
      <c r="C165" s="87"/>
      <c r="D165" s="6"/>
      <c r="E165" s="6"/>
      <c r="F165" s="6"/>
      <c r="G165" s="6"/>
      <c r="H165" s="6"/>
      <c r="I165" s="6"/>
      <c r="J165" s="6"/>
      <c r="K165" s="85"/>
      <c r="L165" s="85"/>
      <c r="M165" s="85"/>
      <c r="N165" s="85"/>
    </row>
    <row r="166" spans="1:14" x14ac:dyDescent="0.2">
      <c r="A166" s="75"/>
      <c r="B166" s="75"/>
      <c r="C166" s="75"/>
      <c r="D166" s="6"/>
      <c r="E166" s="6"/>
      <c r="F166" s="6"/>
      <c r="G166" s="6"/>
      <c r="H166" s="6"/>
      <c r="I166" s="6"/>
      <c r="J166" s="6"/>
      <c r="K166" s="85"/>
      <c r="L166" s="85"/>
      <c r="M166" s="85"/>
      <c r="N166" s="85"/>
    </row>
    <row r="167" spans="1:14" x14ac:dyDescent="0.2">
      <c r="A167" s="75"/>
      <c r="B167" s="75"/>
      <c r="C167" s="75"/>
      <c r="D167" s="6"/>
      <c r="E167" s="6"/>
      <c r="F167" s="6"/>
      <c r="G167" s="6"/>
      <c r="H167" s="6"/>
      <c r="I167" s="6"/>
      <c r="J167" s="6"/>
      <c r="K167" s="85"/>
      <c r="L167" s="85"/>
      <c r="M167" s="85"/>
      <c r="N167" s="85"/>
    </row>
    <row r="168" spans="1:14" x14ac:dyDescent="0.2">
      <c r="A168" s="87"/>
      <c r="B168" s="87"/>
      <c r="C168" s="87"/>
      <c r="D168" s="6"/>
      <c r="E168" s="6"/>
      <c r="F168" s="6"/>
      <c r="G168" s="6"/>
      <c r="H168" s="6"/>
      <c r="I168" s="6"/>
      <c r="J168" s="6"/>
      <c r="K168" s="85"/>
      <c r="L168" s="85"/>
      <c r="M168" s="85"/>
      <c r="N168" s="85"/>
    </row>
    <row r="169" spans="1:14" x14ac:dyDescent="0.2">
      <c r="A169" s="89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</row>
    <row r="170" spans="1:14" x14ac:dyDescent="0.2">
      <c r="A170" s="89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</row>
    <row r="171" spans="1:14" x14ac:dyDescent="0.2">
      <c r="A171" s="89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</row>
    <row r="172" spans="1:14" x14ac:dyDescent="0.2">
      <c r="A172" s="75"/>
      <c r="B172" s="6"/>
      <c r="C172" s="6"/>
      <c r="D172" s="96"/>
      <c r="E172" s="96"/>
      <c r="F172" s="96"/>
      <c r="G172" s="76"/>
      <c r="H172" s="85"/>
      <c r="I172" s="85"/>
      <c r="J172" s="85"/>
      <c r="K172" s="85"/>
      <c r="L172" s="85"/>
      <c r="M172" s="85"/>
      <c r="N172" s="85"/>
    </row>
    <row r="173" spans="1:14" x14ac:dyDescent="0.2">
      <c r="A173" s="75"/>
      <c r="B173" s="6"/>
      <c r="C173" s="6"/>
      <c r="D173" s="96"/>
      <c r="E173" s="96"/>
      <c r="F173" s="96"/>
      <c r="G173" s="76"/>
      <c r="H173" s="85"/>
      <c r="I173" s="85"/>
      <c r="J173" s="85"/>
      <c r="K173" s="85"/>
      <c r="L173" s="85"/>
      <c r="M173" s="85"/>
      <c r="N173" s="85"/>
    </row>
    <row r="174" spans="1:14" ht="15.75" customHeight="1" x14ac:dyDescent="0.2">
      <c r="A174" s="75"/>
      <c r="B174" s="75"/>
      <c r="C174" s="75"/>
      <c r="D174" s="76"/>
      <c r="E174" s="76"/>
      <c r="F174" s="76"/>
      <c r="G174" s="75"/>
      <c r="H174" s="85"/>
      <c r="I174" s="85"/>
      <c r="J174" s="85"/>
      <c r="K174" s="85"/>
      <c r="L174" s="85"/>
      <c r="M174" s="85"/>
      <c r="N174" s="85"/>
    </row>
    <row r="175" spans="1:14" x14ac:dyDescent="0.2">
      <c r="A175" s="75"/>
      <c r="B175" s="75"/>
      <c r="C175" s="75"/>
      <c r="D175" s="98"/>
      <c r="E175" s="98"/>
      <c r="F175" s="98"/>
      <c r="G175" s="75"/>
      <c r="H175" s="85"/>
      <c r="I175" s="85"/>
      <c r="J175" s="85"/>
      <c r="K175" s="85"/>
      <c r="L175" s="85"/>
      <c r="M175" s="85"/>
      <c r="N175" s="85"/>
    </row>
    <row r="176" spans="1:14" ht="15.75" customHeight="1" x14ac:dyDescent="0.2">
      <c r="A176" s="75"/>
      <c r="B176" s="75"/>
      <c r="C176" s="75"/>
      <c r="D176" s="75"/>
      <c r="E176" s="75"/>
      <c r="F176" s="75"/>
      <c r="G176" s="75"/>
      <c r="H176" s="85"/>
      <c r="I176" s="85"/>
      <c r="J176" s="85"/>
      <c r="K176" s="85"/>
      <c r="L176" s="85"/>
      <c r="M176" s="85"/>
      <c r="N176" s="85"/>
    </row>
    <row r="177" spans="1:14" ht="15.75" customHeight="1" x14ac:dyDescent="0.2">
      <c r="A177" s="75"/>
      <c r="B177" s="75"/>
      <c r="C177" s="75"/>
      <c r="D177" s="75"/>
      <c r="E177" s="75"/>
      <c r="F177" s="75"/>
      <c r="G177" s="75"/>
      <c r="H177" s="85"/>
      <c r="I177" s="85"/>
      <c r="J177" s="85"/>
      <c r="K177" s="85"/>
      <c r="L177" s="85"/>
      <c r="M177" s="85"/>
      <c r="N177" s="85"/>
    </row>
    <row r="178" spans="1:14" x14ac:dyDescent="0.2">
      <c r="A178" s="75"/>
      <c r="B178" s="75"/>
      <c r="C178" s="75"/>
      <c r="D178" s="75"/>
      <c r="E178" s="75"/>
      <c r="F178" s="75"/>
      <c r="G178" s="75"/>
      <c r="H178" s="85"/>
      <c r="I178" s="85"/>
      <c r="J178" s="85"/>
      <c r="K178" s="85"/>
      <c r="L178" s="85"/>
      <c r="M178" s="85"/>
      <c r="N178" s="85"/>
    </row>
    <row r="179" spans="1:14" x14ac:dyDescent="0.2">
      <c r="A179" s="88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</row>
    <row r="180" spans="1:14" x14ac:dyDescent="0.2">
      <c r="A180" s="75"/>
      <c r="B180" s="75"/>
      <c r="C180" s="75"/>
      <c r="D180" s="6"/>
      <c r="E180" s="6"/>
      <c r="F180" s="6"/>
      <c r="G180" s="76"/>
      <c r="H180" s="85"/>
      <c r="I180" s="85"/>
      <c r="J180" s="85"/>
      <c r="K180" s="85"/>
      <c r="L180" s="85"/>
      <c r="M180" s="85"/>
      <c r="N180" s="85"/>
    </row>
    <row r="181" spans="1:14" x14ac:dyDescent="0.2">
      <c r="A181" s="75"/>
      <c r="B181" s="75"/>
      <c r="C181" s="75"/>
      <c r="D181" s="6"/>
      <c r="E181" s="6"/>
      <c r="F181" s="6"/>
      <c r="G181" s="76"/>
      <c r="H181" s="85"/>
      <c r="I181" s="85"/>
      <c r="J181" s="85"/>
      <c r="K181" s="85"/>
      <c r="L181" s="85"/>
      <c r="M181" s="85"/>
      <c r="N181" s="85"/>
    </row>
    <row r="182" spans="1:14" x14ac:dyDescent="0.2">
      <c r="A182" s="75"/>
      <c r="B182" s="87"/>
      <c r="C182" s="87"/>
      <c r="D182" s="6"/>
      <c r="E182" s="75"/>
      <c r="F182" s="75"/>
      <c r="G182" s="76"/>
      <c r="H182" s="85"/>
      <c r="I182" s="85"/>
      <c r="J182" s="85"/>
      <c r="K182" s="85"/>
      <c r="L182" s="85"/>
      <c r="M182" s="85"/>
      <c r="N182" s="85"/>
    </row>
    <row r="183" spans="1:14" x14ac:dyDescent="0.2">
      <c r="A183" s="75"/>
      <c r="B183" s="75"/>
      <c r="C183" s="75"/>
      <c r="D183" s="6"/>
      <c r="E183" s="6"/>
      <c r="F183" s="6"/>
      <c r="G183" s="76"/>
      <c r="H183" s="85"/>
      <c r="I183" s="85"/>
      <c r="J183" s="85"/>
      <c r="K183" s="85"/>
      <c r="L183" s="85"/>
      <c r="M183" s="85"/>
      <c r="N183" s="85"/>
    </row>
    <row r="184" spans="1:14" x14ac:dyDescent="0.2">
      <c r="A184" s="75"/>
      <c r="B184" s="75"/>
      <c r="C184" s="75"/>
      <c r="D184" s="6"/>
      <c r="E184" s="6"/>
      <c r="F184" s="6"/>
      <c r="G184" s="76"/>
      <c r="H184" s="85"/>
      <c r="I184" s="85"/>
      <c r="J184" s="85"/>
      <c r="K184" s="85"/>
      <c r="L184" s="85"/>
      <c r="M184" s="85"/>
      <c r="N184" s="85"/>
    </row>
    <row r="185" spans="1:14" x14ac:dyDescent="0.2">
      <c r="A185" s="87"/>
      <c r="B185" s="87"/>
      <c r="C185" s="87"/>
      <c r="D185" s="6"/>
      <c r="E185" s="6"/>
      <c r="F185" s="6"/>
      <c r="G185" s="6"/>
      <c r="H185" s="85"/>
      <c r="I185" s="85"/>
      <c r="J185" s="85"/>
      <c r="K185" s="85"/>
      <c r="L185" s="85"/>
      <c r="M185" s="85"/>
      <c r="N185" s="85"/>
    </row>
    <row r="186" spans="1:14" x14ac:dyDescent="0.2">
      <c r="A186" s="88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</row>
    <row r="187" spans="1:14" x14ac:dyDescent="0.2">
      <c r="A187" s="75"/>
      <c r="B187" s="75"/>
      <c r="C187" s="75"/>
      <c r="D187" s="6"/>
      <c r="E187" s="6"/>
      <c r="F187" s="6"/>
      <c r="G187" s="76"/>
      <c r="H187" s="85"/>
      <c r="I187" s="85"/>
      <c r="J187" s="85"/>
      <c r="K187" s="85"/>
      <c r="L187" s="85"/>
      <c r="M187" s="85"/>
      <c r="N187" s="85"/>
    </row>
    <row r="188" spans="1:14" x14ac:dyDescent="0.2">
      <c r="A188" s="75"/>
      <c r="B188" s="75"/>
      <c r="C188" s="75"/>
      <c r="D188" s="6"/>
      <c r="E188" s="6"/>
      <c r="F188" s="6"/>
      <c r="G188" s="76"/>
      <c r="H188" s="85"/>
      <c r="I188" s="85"/>
      <c r="J188" s="85"/>
      <c r="K188" s="85"/>
      <c r="L188" s="85"/>
      <c r="M188" s="85"/>
      <c r="N188" s="85"/>
    </row>
    <row r="189" spans="1:14" x14ac:dyDescent="0.2">
      <c r="A189" s="75"/>
      <c r="B189" s="87"/>
      <c r="C189" s="87"/>
      <c r="D189" s="6"/>
      <c r="E189" s="6"/>
      <c r="F189" s="6"/>
      <c r="G189" s="76"/>
      <c r="H189" s="85"/>
      <c r="I189" s="85"/>
      <c r="J189" s="85"/>
      <c r="K189" s="85"/>
      <c r="L189" s="85"/>
      <c r="M189" s="85"/>
      <c r="N189" s="85"/>
    </row>
    <row r="190" spans="1:14" x14ac:dyDescent="0.2">
      <c r="A190" s="75"/>
      <c r="B190" s="75"/>
      <c r="C190" s="75"/>
      <c r="D190" s="6"/>
      <c r="E190" s="6"/>
      <c r="F190" s="6"/>
      <c r="G190" s="76"/>
      <c r="H190" s="85"/>
      <c r="I190" s="85"/>
      <c r="J190" s="85"/>
      <c r="K190" s="85"/>
      <c r="L190" s="85"/>
      <c r="M190" s="85"/>
      <c r="N190" s="85"/>
    </row>
    <row r="191" spans="1:14" x14ac:dyDescent="0.2">
      <c r="A191" s="75"/>
      <c r="B191" s="75"/>
      <c r="C191" s="75"/>
      <c r="D191" s="6"/>
      <c r="E191" s="6"/>
      <c r="F191" s="6"/>
      <c r="G191" s="76"/>
      <c r="H191" s="85"/>
      <c r="I191" s="85"/>
      <c r="J191" s="85"/>
      <c r="K191" s="85"/>
      <c r="L191" s="85"/>
      <c r="M191" s="85"/>
      <c r="N191" s="85"/>
    </row>
    <row r="192" spans="1:14" x14ac:dyDescent="0.2">
      <c r="A192" s="87"/>
      <c r="B192" s="87"/>
      <c r="C192" s="87"/>
      <c r="D192" s="6"/>
      <c r="E192" s="6"/>
      <c r="F192" s="6"/>
      <c r="G192" s="6"/>
      <c r="H192" s="85"/>
      <c r="I192" s="85"/>
      <c r="J192" s="85"/>
      <c r="K192" s="85"/>
      <c r="L192" s="85"/>
      <c r="M192" s="85"/>
      <c r="N192" s="85"/>
    </row>
    <row r="193" spans="1:14" x14ac:dyDescent="0.2">
      <c r="A193" s="90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</row>
    <row r="194" spans="1:14" x14ac:dyDescent="0.2">
      <c r="A194" s="75"/>
      <c r="B194" s="75"/>
      <c r="C194" s="75"/>
      <c r="D194" s="6"/>
      <c r="E194" s="6"/>
      <c r="F194" s="6"/>
      <c r="G194" s="76"/>
      <c r="H194" s="85"/>
      <c r="I194" s="85"/>
      <c r="J194" s="85"/>
      <c r="K194" s="85"/>
      <c r="L194" s="85"/>
      <c r="M194" s="85"/>
      <c r="N194" s="85"/>
    </row>
    <row r="195" spans="1:14" x14ac:dyDescent="0.2">
      <c r="A195" s="75"/>
      <c r="B195" s="75"/>
      <c r="C195" s="75"/>
      <c r="D195" s="6"/>
      <c r="E195" s="6"/>
      <c r="F195" s="6"/>
      <c r="G195" s="76"/>
      <c r="H195" s="85"/>
      <c r="I195" s="85"/>
      <c r="J195" s="85"/>
      <c r="K195" s="85"/>
      <c r="L195" s="85"/>
      <c r="M195" s="85"/>
      <c r="N195" s="85"/>
    </row>
    <row r="196" spans="1:14" x14ac:dyDescent="0.2">
      <c r="A196" s="75"/>
      <c r="B196" s="87"/>
      <c r="C196" s="87"/>
      <c r="D196" s="6"/>
      <c r="E196" s="6"/>
      <c r="F196" s="6"/>
      <c r="G196" s="76"/>
      <c r="H196" s="85"/>
      <c r="I196" s="85"/>
      <c r="J196" s="85"/>
      <c r="K196" s="85"/>
      <c r="L196" s="85"/>
      <c r="M196" s="85"/>
      <c r="N196" s="85"/>
    </row>
    <row r="197" spans="1:14" x14ac:dyDescent="0.2">
      <c r="A197" s="75"/>
      <c r="B197" s="75"/>
      <c r="C197" s="75"/>
      <c r="D197" s="6"/>
      <c r="E197" s="6"/>
      <c r="F197" s="6"/>
      <c r="G197" s="76"/>
      <c r="H197" s="85"/>
      <c r="I197" s="85"/>
      <c r="J197" s="85"/>
      <c r="K197" s="85"/>
      <c r="L197" s="85"/>
      <c r="M197" s="85"/>
      <c r="N197" s="85"/>
    </row>
    <row r="198" spans="1:14" x14ac:dyDescent="0.2">
      <c r="A198" s="75"/>
      <c r="B198" s="75"/>
      <c r="C198" s="75"/>
      <c r="D198" s="6"/>
      <c r="E198" s="6"/>
      <c r="F198" s="6"/>
      <c r="G198" s="76"/>
      <c r="H198" s="85"/>
      <c r="I198" s="85"/>
      <c r="J198" s="85"/>
      <c r="K198" s="85"/>
      <c r="L198" s="85"/>
      <c r="M198" s="85"/>
      <c r="N198" s="85"/>
    </row>
    <row r="199" spans="1:14" x14ac:dyDescent="0.2">
      <c r="A199" s="87"/>
      <c r="B199" s="87"/>
      <c r="C199" s="87"/>
      <c r="D199" s="6"/>
      <c r="E199" s="6"/>
      <c r="F199" s="6"/>
      <c r="G199" s="6"/>
      <c r="H199" s="85"/>
      <c r="I199" s="85"/>
      <c r="J199" s="85"/>
      <c r="K199" s="85"/>
      <c r="L199" s="85"/>
      <c r="M199" s="85"/>
      <c r="N199" s="85"/>
    </row>
    <row r="200" spans="1:14" x14ac:dyDescent="0.2">
      <c r="A200" s="89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</row>
    <row r="201" spans="1:14" x14ac:dyDescent="0.2">
      <c r="A201" s="92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</row>
    <row r="202" spans="1:14" x14ac:dyDescent="0.2">
      <c r="A202" s="89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</row>
    <row r="203" spans="1:14" ht="18.75" customHeight="1" x14ac:dyDescent="0.2">
      <c r="A203" s="6"/>
      <c r="B203" s="6"/>
      <c r="C203" s="6"/>
      <c r="D203" s="75"/>
      <c r="E203" s="75"/>
      <c r="F203" s="75"/>
      <c r="G203" s="75"/>
      <c r="H203" s="85"/>
      <c r="I203" s="85"/>
      <c r="J203" s="85"/>
      <c r="K203" s="85"/>
      <c r="L203" s="85"/>
      <c r="M203" s="85"/>
      <c r="N203" s="85"/>
    </row>
    <row r="204" spans="1:14" x14ac:dyDescent="0.2">
      <c r="A204" s="6"/>
      <c r="B204" s="6"/>
      <c r="C204" s="6"/>
      <c r="D204" s="75"/>
      <c r="E204" s="75"/>
      <c r="F204" s="75"/>
      <c r="G204" s="75"/>
      <c r="H204" s="85"/>
      <c r="I204" s="85"/>
      <c r="J204" s="85"/>
      <c r="K204" s="85"/>
      <c r="L204" s="85"/>
      <c r="M204" s="85"/>
      <c r="N204" s="85"/>
    </row>
    <row r="205" spans="1:14" x14ac:dyDescent="0.2">
      <c r="A205" s="75"/>
      <c r="B205" s="75"/>
      <c r="C205" s="75"/>
      <c r="D205" s="6"/>
      <c r="E205" s="6"/>
      <c r="F205" s="6"/>
      <c r="G205" s="6"/>
      <c r="H205" s="85"/>
      <c r="I205" s="85"/>
      <c r="J205" s="85"/>
      <c r="K205" s="85"/>
      <c r="L205" s="85"/>
      <c r="M205" s="85"/>
      <c r="N205" s="85"/>
    </row>
    <row r="206" spans="1:14" x14ac:dyDescent="0.2">
      <c r="A206" s="75"/>
      <c r="B206" s="75"/>
      <c r="C206" s="75"/>
      <c r="D206" s="75"/>
      <c r="E206" s="75"/>
      <c r="F206" s="75"/>
      <c r="G206" s="75"/>
      <c r="H206" s="85"/>
      <c r="I206" s="85"/>
      <c r="J206" s="85"/>
      <c r="K206" s="85"/>
      <c r="L206" s="85"/>
      <c r="M206" s="85"/>
      <c r="N206" s="85"/>
    </row>
    <row r="207" spans="1:14" x14ac:dyDescent="0.2">
      <c r="A207" s="88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</row>
    <row r="208" spans="1:14" x14ac:dyDescent="0.2">
      <c r="A208" s="75"/>
      <c r="B208" s="75"/>
      <c r="C208" s="75"/>
      <c r="D208" s="6"/>
      <c r="E208" s="6"/>
      <c r="F208" s="6"/>
      <c r="G208" s="6"/>
      <c r="H208" s="85"/>
      <c r="I208" s="85"/>
      <c r="J208" s="85"/>
      <c r="K208" s="85"/>
      <c r="L208" s="85"/>
      <c r="M208" s="85"/>
      <c r="N208" s="85"/>
    </row>
    <row r="209" spans="1:14" x14ac:dyDescent="0.2">
      <c r="A209" s="75"/>
      <c r="B209" s="75"/>
      <c r="C209" s="75"/>
      <c r="D209" s="6"/>
      <c r="E209" s="6"/>
      <c r="F209" s="6"/>
      <c r="G209" s="6"/>
      <c r="H209" s="85"/>
      <c r="I209" s="85"/>
      <c r="J209" s="85"/>
      <c r="K209" s="85"/>
      <c r="L209" s="85"/>
      <c r="M209" s="85"/>
      <c r="N209" s="85"/>
    </row>
    <row r="210" spans="1:14" x14ac:dyDescent="0.2">
      <c r="A210" s="75"/>
      <c r="B210" s="87"/>
      <c r="C210" s="87"/>
      <c r="D210" s="6"/>
      <c r="E210" s="6"/>
      <c r="F210" s="6"/>
      <c r="G210" s="6"/>
      <c r="H210" s="85"/>
      <c r="I210" s="85"/>
      <c r="J210" s="85"/>
      <c r="K210" s="85"/>
      <c r="L210" s="85"/>
      <c r="M210" s="85"/>
      <c r="N210" s="85"/>
    </row>
    <row r="211" spans="1:14" x14ac:dyDescent="0.2">
      <c r="A211" s="75"/>
      <c r="B211" s="75"/>
      <c r="C211" s="75"/>
      <c r="D211" s="6"/>
      <c r="E211" s="6"/>
      <c r="F211" s="6"/>
      <c r="G211" s="6"/>
      <c r="H211" s="85"/>
      <c r="I211" s="85"/>
      <c r="J211" s="85"/>
      <c r="K211" s="85"/>
      <c r="L211" s="85"/>
      <c r="M211" s="85"/>
      <c r="N211" s="85"/>
    </row>
    <row r="212" spans="1:14" x14ac:dyDescent="0.2">
      <c r="A212" s="75"/>
      <c r="B212" s="75"/>
      <c r="C212" s="75"/>
      <c r="D212" s="6"/>
      <c r="E212" s="6"/>
      <c r="F212" s="6"/>
      <c r="G212" s="6"/>
      <c r="H212" s="85"/>
      <c r="I212" s="85"/>
      <c r="J212" s="85"/>
      <c r="K212" s="85"/>
      <c r="L212" s="85"/>
      <c r="M212" s="85"/>
      <c r="N212" s="85"/>
    </row>
    <row r="213" spans="1:14" x14ac:dyDescent="0.2">
      <c r="A213" s="6"/>
      <c r="B213" s="87"/>
      <c r="C213" s="87"/>
      <c r="D213" s="6"/>
      <c r="E213" s="6"/>
      <c r="F213" s="6"/>
      <c r="G213" s="6"/>
      <c r="H213" s="85"/>
      <c r="I213" s="85"/>
      <c r="J213" s="85"/>
      <c r="K213" s="85"/>
      <c r="L213" s="85"/>
      <c r="M213" s="85"/>
      <c r="N213" s="85"/>
    </row>
    <row r="214" spans="1:14" x14ac:dyDescent="0.2">
      <c r="A214" s="88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</row>
    <row r="215" spans="1:14" x14ac:dyDescent="0.2">
      <c r="A215" s="75"/>
      <c r="B215" s="75"/>
      <c r="C215" s="75"/>
      <c r="D215" s="6"/>
      <c r="E215" s="6"/>
      <c r="F215" s="6"/>
      <c r="G215" s="6"/>
      <c r="H215" s="85"/>
      <c r="I215" s="85"/>
      <c r="J215" s="85"/>
      <c r="K215" s="85"/>
      <c r="L215" s="85"/>
      <c r="M215" s="85"/>
      <c r="N215" s="85"/>
    </row>
    <row r="216" spans="1:14" x14ac:dyDescent="0.2">
      <c r="A216" s="75"/>
      <c r="B216" s="75"/>
      <c r="C216" s="75"/>
      <c r="D216" s="6"/>
      <c r="E216" s="6"/>
      <c r="F216" s="6"/>
      <c r="G216" s="6"/>
      <c r="H216" s="85"/>
      <c r="I216" s="85"/>
      <c r="J216" s="85"/>
      <c r="K216" s="85"/>
      <c r="L216" s="85"/>
      <c r="M216" s="85"/>
      <c r="N216" s="85"/>
    </row>
    <row r="217" spans="1:14" x14ac:dyDescent="0.2">
      <c r="A217" s="75"/>
      <c r="B217" s="87"/>
      <c r="C217" s="87"/>
      <c r="D217" s="6"/>
      <c r="E217" s="6"/>
      <c r="F217" s="6"/>
      <c r="G217" s="6"/>
      <c r="H217" s="85"/>
      <c r="I217" s="85"/>
      <c r="J217" s="85"/>
      <c r="K217" s="85"/>
      <c r="L217" s="85"/>
      <c r="M217" s="85"/>
      <c r="N217" s="85"/>
    </row>
    <row r="218" spans="1:14" x14ac:dyDescent="0.2">
      <c r="A218" s="75"/>
      <c r="B218" s="75"/>
      <c r="C218" s="75"/>
      <c r="D218" s="6"/>
      <c r="E218" s="6"/>
      <c r="F218" s="6"/>
      <c r="G218" s="6"/>
      <c r="H218" s="85"/>
      <c r="I218" s="85"/>
      <c r="J218" s="85"/>
      <c r="K218" s="85"/>
      <c r="L218" s="85"/>
      <c r="M218" s="85"/>
      <c r="N218" s="85"/>
    </row>
    <row r="219" spans="1:14" x14ac:dyDescent="0.2">
      <c r="A219" s="75"/>
      <c r="B219" s="75"/>
      <c r="C219" s="75"/>
      <c r="D219" s="6"/>
      <c r="E219" s="6"/>
      <c r="F219" s="6"/>
      <c r="G219" s="6"/>
      <c r="H219" s="85"/>
      <c r="I219" s="85"/>
      <c r="J219" s="85"/>
      <c r="K219" s="85"/>
      <c r="L219" s="85"/>
      <c r="M219" s="85"/>
      <c r="N219" s="85"/>
    </row>
    <row r="220" spans="1:14" x14ac:dyDescent="0.2">
      <c r="A220" s="6"/>
      <c r="B220" s="87"/>
      <c r="C220" s="87"/>
      <c r="D220" s="6"/>
      <c r="E220" s="6"/>
      <c r="F220" s="6"/>
      <c r="G220" s="6"/>
      <c r="H220" s="85"/>
      <c r="I220" s="85"/>
      <c r="J220" s="85"/>
      <c r="K220" s="85"/>
      <c r="L220" s="85"/>
      <c r="M220" s="85"/>
      <c r="N220" s="85"/>
    </row>
    <row r="221" spans="1:14" x14ac:dyDescent="0.2">
      <c r="A221" s="90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</row>
    <row r="222" spans="1:14" x14ac:dyDescent="0.2">
      <c r="A222" s="75"/>
      <c r="B222" s="75"/>
      <c r="C222" s="75"/>
      <c r="D222" s="6"/>
      <c r="E222" s="6"/>
      <c r="F222" s="6"/>
      <c r="G222" s="6"/>
      <c r="H222" s="85"/>
      <c r="I222" s="85"/>
      <c r="J222" s="85"/>
      <c r="K222" s="85"/>
      <c r="L222" s="85"/>
      <c r="M222" s="85"/>
      <c r="N222" s="85"/>
    </row>
    <row r="223" spans="1:14" x14ac:dyDescent="0.2">
      <c r="A223" s="75"/>
      <c r="B223" s="75"/>
      <c r="C223" s="75"/>
      <c r="D223" s="6"/>
      <c r="E223" s="6"/>
      <c r="F223" s="6"/>
      <c r="G223" s="6"/>
      <c r="H223" s="85"/>
      <c r="I223" s="85"/>
      <c r="J223" s="85"/>
      <c r="K223" s="85"/>
      <c r="L223" s="85"/>
      <c r="M223" s="85"/>
      <c r="N223" s="85"/>
    </row>
    <row r="224" spans="1:14" x14ac:dyDescent="0.2">
      <c r="A224" s="75"/>
      <c r="B224" s="87"/>
      <c r="C224" s="87"/>
      <c r="D224" s="6"/>
      <c r="E224" s="6"/>
      <c r="F224" s="6"/>
      <c r="G224" s="6"/>
      <c r="H224" s="85"/>
      <c r="I224" s="85"/>
      <c r="J224" s="85"/>
      <c r="K224" s="85"/>
      <c r="L224" s="85"/>
      <c r="M224" s="85"/>
      <c r="N224" s="85"/>
    </row>
    <row r="225" spans="1:14" x14ac:dyDescent="0.2">
      <c r="A225" s="75"/>
      <c r="B225" s="75"/>
      <c r="C225" s="75"/>
      <c r="D225" s="6"/>
      <c r="E225" s="6"/>
      <c r="F225" s="6"/>
      <c r="G225" s="6"/>
      <c r="H225" s="85"/>
      <c r="I225" s="85"/>
      <c r="J225" s="85"/>
      <c r="K225" s="85"/>
      <c r="L225" s="85"/>
      <c r="M225" s="85"/>
      <c r="N225" s="85"/>
    </row>
    <row r="226" spans="1:14" x14ac:dyDescent="0.2">
      <c r="A226" s="75"/>
      <c r="B226" s="75"/>
      <c r="C226" s="75"/>
      <c r="D226" s="6"/>
      <c r="E226" s="6"/>
      <c r="F226" s="6"/>
      <c r="G226" s="6"/>
      <c r="H226" s="85"/>
      <c r="I226" s="85"/>
      <c r="J226" s="85"/>
      <c r="K226" s="85"/>
      <c r="L226" s="85"/>
      <c r="M226" s="85"/>
      <c r="N226" s="85"/>
    </row>
    <row r="227" spans="1:14" x14ac:dyDescent="0.2">
      <c r="A227" s="6"/>
      <c r="B227" s="87"/>
      <c r="C227" s="87"/>
      <c r="D227" s="6"/>
      <c r="E227" s="6"/>
      <c r="F227" s="6"/>
      <c r="G227" s="6"/>
      <c r="H227" s="85"/>
      <c r="I227" s="85"/>
      <c r="J227" s="85"/>
      <c r="K227" s="85"/>
      <c r="L227" s="85"/>
      <c r="M227" s="85"/>
      <c r="N227" s="85"/>
    </row>
    <row r="228" spans="1:14" x14ac:dyDescent="0.2">
      <c r="A228" s="89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</row>
    <row r="229" spans="1:14" x14ac:dyDescent="0.2">
      <c r="A229" s="89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</row>
    <row r="230" spans="1:14" ht="15.75" customHeight="1" x14ac:dyDescent="0.2">
      <c r="A230" s="6"/>
      <c r="B230" s="6"/>
      <c r="C230" s="6"/>
      <c r="D230" s="75"/>
      <c r="E230" s="75"/>
      <c r="F230" s="75"/>
      <c r="G230" s="75"/>
      <c r="H230" s="85"/>
      <c r="I230" s="85"/>
      <c r="J230" s="85"/>
      <c r="K230" s="85"/>
      <c r="L230" s="85"/>
      <c r="M230" s="85"/>
      <c r="N230" s="85"/>
    </row>
    <row r="231" spans="1:14" x14ac:dyDescent="0.2">
      <c r="A231" s="6"/>
      <c r="B231" s="6"/>
      <c r="C231" s="6"/>
      <c r="D231" s="75"/>
      <c r="E231" s="75"/>
      <c r="F231" s="75"/>
      <c r="G231" s="75"/>
      <c r="H231" s="85"/>
      <c r="I231" s="85"/>
      <c r="J231" s="85"/>
      <c r="K231" s="85"/>
      <c r="L231" s="85"/>
      <c r="M231" s="85"/>
      <c r="N231" s="85"/>
    </row>
    <row r="232" spans="1:14" x14ac:dyDescent="0.2">
      <c r="A232" s="75"/>
      <c r="B232" s="75"/>
      <c r="C232" s="75"/>
      <c r="D232" s="6"/>
      <c r="E232" s="6"/>
      <c r="F232" s="6"/>
      <c r="G232" s="6"/>
      <c r="H232" s="85"/>
      <c r="I232" s="85"/>
      <c r="J232" s="85"/>
      <c r="K232" s="85"/>
      <c r="L232" s="85"/>
      <c r="M232" s="85"/>
      <c r="N232" s="85"/>
    </row>
    <row r="233" spans="1:14" x14ac:dyDescent="0.2">
      <c r="A233" s="75"/>
      <c r="B233" s="75"/>
      <c r="C233" s="75"/>
      <c r="D233" s="75"/>
      <c r="E233" s="75"/>
      <c r="F233" s="75"/>
      <c r="G233" s="75"/>
      <c r="H233" s="85"/>
      <c r="I233" s="85"/>
      <c r="J233" s="85"/>
      <c r="K233" s="85"/>
      <c r="L233" s="85"/>
      <c r="M233" s="85"/>
      <c r="N233" s="85"/>
    </row>
    <row r="234" spans="1:14" x14ac:dyDescent="0.2">
      <c r="A234" s="88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</row>
    <row r="235" spans="1:14" x14ac:dyDescent="0.2">
      <c r="A235" s="75"/>
      <c r="B235" s="75"/>
      <c r="C235" s="75"/>
      <c r="D235" s="6"/>
      <c r="E235" s="6"/>
      <c r="F235" s="6"/>
      <c r="G235" s="6"/>
      <c r="H235" s="85"/>
      <c r="I235" s="85"/>
      <c r="J235" s="85"/>
      <c r="K235" s="85"/>
      <c r="L235" s="85"/>
      <c r="M235" s="85"/>
      <c r="N235" s="85"/>
    </row>
    <row r="236" spans="1:14" x14ac:dyDescent="0.2">
      <c r="A236" s="75"/>
      <c r="B236" s="75"/>
      <c r="C236" s="75"/>
      <c r="D236" s="6"/>
      <c r="E236" s="6"/>
      <c r="F236" s="6"/>
      <c r="G236" s="6"/>
      <c r="H236" s="85"/>
      <c r="I236" s="85"/>
      <c r="J236" s="85"/>
      <c r="K236" s="85"/>
      <c r="L236" s="85"/>
      <c r="M236" s="85"/>
      <c r="N236" s="85"/>
    </row>
    <row r="237" spans="1:14" x14ac:dyDescent="0.2">
      <c r="A237" s="75"/>
      <c r="B237" s="87"/>
      <c r="C237" s="87"/>
      <c r="D237" s="6"/>
      <c r="E237" s="6"/>
      <c r="F237" s="6"/>
      <c r="G237" s="6"/>
      <c r="H237" s="85"/>
      <c r="I237" s="85"/>
      <c r="J237" s="85"/>
      <c r="K237" s="85"/>
      <c r="L237" s="85"/>
      <c r="M237" s="85"/>
      <c r="N237" s="85"/>
    </row>
    <row r="238" spans="1:14" x14ac:dyDescent="0.2">
      <c r="A238" s="75"/>
      <c r="B238" s="75"/>
      <c r="C238" s="75"/>
      <c r="D238" s="6"/>
      <c r="E238" s="6"/>
      <c r="F238" s="6"/>
      <c r="G238" s="6"/>
      <c r="H238" s="85"/>
      <c r="I238" s="85"/>
      <c r="J238" s="85"/>
      <c r="K238" s="85"/>
      <c r="L238" s="85"/>
      <c r="M238" s="85"/>
      <c r="N238" s="85"/>
    </row>
    <row r="239" spans="1:14" x14ac:dyDescent="0.2">
      <c r="A239" s="75"/>
      <c r="B239" s="75"/>
      <c r="C239" s="75"/>
      <c r="D239" s="6"/>
      <c r="E239" s="6"/>
      <c r="F239" s="6"/>
      <c r="G239" s="6"/>
      <c r="H239" s="85"/>
      <c r="I239" s="85"/>
      <c r="J239" s="85"/>
      <c r="K239" s="85"/>
      <c r="L239" s="85"/>
      <c r="M239" s="85"/>
      <c r="N239" s="85"/>
    </row>
    <row r="240" spans="1:14" x14ac:dyDescent="0.2">
      <c r="A240" s="6"/>
      <c r="B240" s="87"/>
      <c r="C240" s="87"/>
      <c r="D240" s="6"/>
      <c r="E240" s="6"/>
      <c r="F240" s="6"/>
      <c r="G240" s="6"/>
      <c r="H240" s="85"/>
      <c r="I240" s="85"/>
      <c r="J240" s="85"/>
      <c r="K240" s="85"/>
      <c r="L240" s="85"/>
      <c r="M240" s="85"/>
      <c r="N240" s="85"/>
    </row>
    <row r="241" spans="1:14" x14ac:dyDescent="0.2">
      <c r="A241" s="88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</row>
    <row r="242" spans="1:14" x14ac:dyDescent="0.2">
      <c r="A242" s="75"/>
      <c r="B242" s="75"/>
      <c r="C242" s="75"/>
      <c r="D242" s="6"/>
      <c r="E242" s="6"/>
      <c r="F242" s="6"/>
      <c r="G242" s="6"/>
      <c r="H242" s="85"/>
      <c r="I242" s="85"/>
      <c r="J242" s="85"/>
      <c r="K242" s="85"/>
      <c r="L242" s="85"/>
      <c r="M242" s="85"/>
      <c r="N242" s="85"/>
    </row>
    <row r="243" spans="1:14" x14ac:dyDescent="0.2">
      <c r="A243" s="75"/>
      <c r="B243" s="75"/>
      <c r="C243" s="75"/>
      <c r="D243" s="6"/>
      <c r="E243" s="6"/>
      <c r="F243" s="6"/>
      <c r="G243" s="6"/>
      <c r="H243" s="85"/>
      <c r="I243" s="85"/>
      <c r="J243" s="85"/>
      <c r="K243" s="85"/>
      <c r="L243" s="85"/>
      <c r="M243" s="85"/>
      <c r="N243" s="85"/>
    </row>
    <row r="244" spans="1:14" x14ac:dyDescent="0.2">
      <c r="A244" s="75"/>
      <c r="B244" s="87"/>
      <c r="C244" s="87"/>
      <c r="D244" s="6"/>
      <c r="E244" s="6"/>
      <c r="F244" s="6"/>
      <c r="G244" s="6"/>
      <c r="H244" s="85"/>
      <c r="I244" s="85"/>
      <c r="J244" s="85"/>
      <c r="K244" s="85"/>
      <c r="L244" s="85"/>
      <c r="M244" s="85"/>
      <c r="N244" s="85"/>
    </row>
    <row r="245" spans="1:14" x14ac:dyDescent="0.2">
      <c r="A245" s="75"/>
      <c r="B245" s="75"/>
      <c r="C245" s="75"/>
      <c r="D245" s="6"/>
      <c r="E245" s="6"/>
      <c r="F245" s="6"/>
      <c r="G245" s="6"/>
      <c r="H245" s="85"/>
      <c r="I245" s="85"/>
      <c r="J245" s="85"/>
      <c r="K245" s="85"/>
      <c r="L245" s="85"/>
      <c r="M245" s="85"/>
      <c r="N245" s="85"/>
    </row>
    <row r="246" spans="1:14" x14ac:dyDescent="0.2">
      <c r="A246" s="75"/>
      <c r="B246" s="75"/>
      <c r="C246" s="75"/>
      <c r="D246" s="6"/>
      <c r="E246" s="6"/>
      <c r="F246" s="6"/>
      <c r="G246" s="6"/>
      <c r="H246" s="85"/>
      <c r="I246" s="85"/>
      <c r="J246" s="85"/>
      <c r="K246" s="85"/>
      <c r="L246" s="85"/>
      <c r="M246" s="85"/>
      <c r="N246" s="85"/>
    </row>
    <row r="247" spans="1:14" x14ac:dyDescent="0.2">
      <c r="A247" s="6"/>
      <c r="B247" s="87"/>
      <c r="C247" s="87"/>
      <c r="D247" s="6"/>
      <c r="E247" s="6"/>
      <c r="F247" s="6"/>
      <c r="G247" s="6"/>
      <c r="H247" s="85"/>
      <c r="I247" s="85"/>
      <c r="J247" s="85"/>
      <c r="K247" s="85"/>
      <c r="L247" s="85"/>
      <c r="M247" s="85"/>
      <c r="N247" s="85"/>
    </row>
    <row r="248" spans="1:14" x14ac:dyDescent="0.2">
      <c r="A248" s="90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</row>
    <row r="249" spans="1:14" x14ac:dyDescent="0.2">
      <c r="A249" s="75"/>
      <c r="B249" s="75"/>
      <c r="C249" s="75"/>
      <c r="D249" s="6"/>
      <c r="E249" s="6"/>
      <c r="F249" s="6"/>
      <c r="G249" s="6"/>
      <c r="H249" s="85"/>
      <c r="I249" s="85"/>
      <c r="J249" s="85"/>
      <c r="K249" s="85"/>
      <c r="L249" s="85"/>
      <c r="M249" s="85"/>
      <c r="N249" s="85"/>
    </row>
    <row r="250" spans="1:14" x14ac:dyDescent="0.2">
      <c r="A250" s="75"/>
      <c r="B250" s="75"/>
      <c r="C250" s="75"/>
      <c r="D250" s="6"/>
      <c r="E250" s="6"/>
      <c r="F250" s="6"/>
      <c r="G250" s="6"/>
      <c r="H250" s="85"/>
      <c r="I250" s="85"/>
      <c r="J250" s="85"/>
      <c r="K250" s="85"/>
      <c r="L250" s="85"/>
      <c r="M250" s="85"/>
      <c r="N250" s="85"/>
    </row>
    <row r="251" spans="1:14" x14ac:dyDescent="0.2">
      <c r="A251" s="75"/>
      <c r="B251" s="87"/>
      <c r="C251" s="87"/>
      <c r="D251" s="6"/>
      <c r="E251" s="6"/>
      <c r="F251" s="6"/>
      <c r="G251" s="6"/>
      <c r="H251" s="85"/>
      <c r="I251" s="85"/>
      <c r="J251" s="85"/>
      <c r="K251" s="85"/>
      <c r="L251" s="85"/>
      <c r="M251" s="85"/>
      <c r="N251" s="85"/>
    </row>
    <row r="252" spans="1:14" x14ac:dyDescent="0.2">
      <c r="A252" s="75"/>
      <c r="B252" s="75"/>
      <c r="C252" s="75"/>
      <c r="D252" s="6"/>
      <c r="E252" s="6"/>
      <c r="F252" s="6"/>
      <c r="G252" s="6"/>
      <c r="H252" s="85"/>
      <c r="I252" s="85"/>
      <c r="J252" s="85"/>
      <c r="K252" s="85"/>
      <c r="L252" s="85"/>
      <c r="M252" s="85"/>
      <c r="N252" s="85"/>
    </row>
    <row r="253" spans="1:14" x14ac:dyDescent="0.2">
      <c r="A253" s="75"/>
      <c r="B253" s="75"/>
      <c r="C253" s="75"/>
      <c r="D253" s="6"/>
      <c r="E253" s="6"/>
      <c r="F253" s="6"/>
      <c r="G253" s="6"/>
      <c r="H253" s="85"/>
      <c r="I253" s="85"/>
      <c r="J253" s="85"/>
      <c r="K253" s="85"/>
      <c r="L253" s="85"/>
      <c r="M253" s="85"/>
      <c r="N253" s="85"/>
    </row>
    <row r="254" spans="1:14" x14ac:dyDescent="0.2">
      <c r="A254" s="6"/>
      <c r="B254" s="87"/>
      <c r="C254" s="87"/>
      <c r="D254" s="6"/>
      <c r="E254" s="6"/>
      <c r="F254" s="6"/>
      <c r="G254" s="6"/>
      <c r="H254" s="85"/>
      <c r="I254" s="85"/>
      <c r="J254" s="85"/>
      <c r="K254" s="85"/>
      <c r="L254" s="85"/>
      <c r="M254" s="85"/>
      <c r="N254" s="85"/>
    </row>
    <row r="255" spans="1:14" x14ac:dyDescent="0.2">
      <c r="A255" s="89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</row>
    <row r="256" spans="1:14" x14ac:dyDescent="0.2">
      <c r="A256" s="89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</row>
    <row r="257" spans="1:14" x14ac:dyDescent="0.2">
      <c r="A257" s="92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</row>
    <row r="258" spans="1:14" x14ac:dyDescent="0.2">
      <c r="A258" s="92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</row>
    <row r="259" spans="1:14" x14ac:dyDescent="0.2">
      <c r="A259" s="92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</row>
    <row r="260" spans="1:14" x14ac:dyDescent="0.2">
      <c r="A260" s="92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</row>
    <row r="261" spans="1:14" ht="31.5" customHeight="1" x14ac:dyDescent="0.2">
      <c r="A261" s="6"/>
      <c r="B261" s="6"/>
      <c r="C261" s="6"/>
      <c r="D261" s="76"/>
      <c r="E261" s="76"/>
      <c r="F261" s="76"/>
      <c r="G261" s="96"/>
      <c r="H261" s="96"/>
      <c r="I261" s="96"/>
      <c r="J261" s="96"/>
      <c r="K261" s="85"/>
      <c r="L261" s="85"/>
      <c r="M261" s="85"/>
      <c r="N261" s="85"/>
    </row>
    <row r="262" spans="1:14" ht="15.75" customHeight="1" x14ac:dyDescent="0.2">
      <c r="A262" s="6"/>
      <c r="B262" s="6"/>
      <c r="C262" s="6"/>
      <c r="D262" s="76"/>
      <c r="E262" s="6"/>
      <c r="F262" s="6"/>
      <c r="G262" s="75"/>
      <c r="H262" s="75"/>
      <c r="I262" s="75"/>
      <c r="J262" s="75"/>
      <c r="K262" s="85"/>
      <c r="L262" s="85"/>
      <c r="M262" s="85"/>
      <c r="N262" s="85"/>
    </row>
    <row r="263" spans="1:14" ht="15.75" customHeight="1" x14ac:dyDescent="0.2">
      <c r="A263" s="6"/>
      <c r="B263" s="75"/>
      <c r="C263" s="75"/>
      <c r="D263" s="6"/>
      <c r="E263" s="6"/>
      <c r="F263" s="6"/>
      <c r="G263" s="75"/>
      <c r="H263" s="75"/>
      <c r="I263" s="75"/>
      <c r="J263" s="75"/>
      <c r="K263" s="85"/>
      <c r="L263" s="85"/>
      <c r="M263" s="85"/>
      <c r="N263" s="85"/>
    </row>
    <row r="264" spans="1:14" x14ac:dyDescent="0.2">
      <c r="A264" s="6"/>
      <c r="B264" s="75"/>
      <c r="C264" s="75"/>
      <c r="D264" s="6"/>
      <c r="E264" s="75"/>
      <c r="F264" s="75"/>
      <c r="G264" s="75"/>
      <c r="H264" s="75"/>
      <c r="I264" s="75"/>
      <c r="J264" s="75"/>
      <c r="K264" s="85"/>
      <c r="L264" s="85"/>
      <c r="M264" s="85"/>
      <c r="N264" s="85"/>
    </row>
    <row r="265" spans="1:14" ht="15.75" customHeight="1" x14ac:dyDescent="0.2">
      <c r="A265" s="75"/>
      <c r="B265" s="75"/>
      <c r="C265" s="75"/>
      <c r="D265" s="75"/>
      <c r="E265" s="75"/>
      <c r="F265" s="75"/>
      <c r="G265" s="75"/>
      <c r="H265" s="75"/>
      <c r="I265" s="75"/>
      <c r="J265" s="6"/>
      <c r="K265" s="85"/>
      <c r="L265" s="85"/>
      <c r="M265" s="85"/>
      <c r="N265" s="85"/>
    </row>
    <row r="266" spans="1:14" ht="15.75" customHeight="1" x14ac:dyDescent="0.2">
      <c r="A266" s="75"/>
      <c r="B266" s="75"/>
      <c r="C266" s="75"/>
      <c r="D266" s="75"/>
      <c r="E266" s="75"/>
      <c r="F266" s="75"/>
      <c r="G266" s="75"/>
      <c r="H266" s="75"/>
      <c r="I266" s="75"/>
      <c r="J266" s="6"/>
      <c r="K266" s="85"/>
      <c r="L266" s="85"/>
      <c r="M266" s="85"/>
      <c r="N266" s="85"/>
    </row>
    <row r="267" spans="1:14" x14ac:dyDescent="0.2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85"/>
      <c r="L267" s="85"/>
      <c r="M267" s="85"/>
      <c r="N267" s="85"/>
    </row>
    <row r="268" spans="1:14" x14ac:dyDescent="0.2">
      <c r="A268" s="91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</row>
    <row r="269" spans="1:14" x14ac:dyDescent="0.2">
      <c r="A269" s="6"/>
      <c r="B269" s="75"/>
      <c r="C269" s="75"/>
      <c r="D269" s="6"/>
      <c r="E269" s="6"/>
      <c r="F269" s="6"/>
      <c r="G269" s="6"/>
      <c r="H269" s="6"/>
      <c r="I269" s="6"/>
      <c r="J269" s="6"/>
      <c r="K269" s="85"/>
      <c r="L269" s="85"/>
      <c r="M269" s="85"/>
      <c r="N269" s="85"/>
    </row>
    <row r="270" spans="1:14" x14ac:dyDescent="0.2">
      <c r="A270" s="6"/>
      <c r="B270" s="75"/>
      <c r="C270" s="75"/>
      <c r="D270" s="6"/>
      <c r="E270" s="6"/>
      <c r="F270" s="6"/>
      <c r="G270" s="6"/>
      <c r="H270" s="6"/>
      <c r="I270" s="6"/>
      <c r="J270" s="6"/>
      <c r="K270" s="85"/>
      <c r="L270" s="85"/>
      <c r="M270" s="85"/>
      <c r="N270" s="85"/>
    </row>
    <row r="271" spans="1:14" x14ac:dyDescent="0.2">
      <c r="A271" s="6"/>
      <c r="B271" s="87"/>
      <c r="C271" s="87"/>
      <c r="D271" s="6"/>
      <c r="E271" s="6"/>
      <c r="F271" s="6"/>
      <c r="G271" s="6"/>
      <c r="H271" s="6"/>
      <c r="I271" s="6"/>
      <c r="J271" s="6"/>
      <c r="K271" s="85"/>
      <c r="L271" s="85"/>
      <c r="M271" s="85"/>
      <c r="N271" s="85"/>
    </row>
    <row r="272" spans="1:14" x14ac:dyDescent="0.2">
      <c r="A272" s="91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</row>
    <row r="273" spans="1:14" ht="15.75" customHeight="1" x14ac:dyDescent="0.2">
      <c r="A273" s="75"/>
      <c r="B273" s="6"/>
      <c r="C273" s="6"/>
      <c r="D273" s="96"/>
      <c r="E273" s="96"/>
      <c r="F273" s="96"/>
      <c r="G273" s="96"/>
      <c r="H273" s="96"/>
      <c r="I273" s="96"/>
      <c r="J273" s="96"/>
      <c r="K273" s="85"/>
      <c r="L273" s="85"/>
      <c r="M273" s="85"/>
      <c r="N273" s="85"/>
    </row>
    <row r="274" spans="1:14" x14ac:dyDescent="0.2">
      <c r="A274" s="75"/>
      <c r="B274" s="6"/>
      <c r="C274" s="6"/>
      <c r="D274" s="96"/>
      <c r="E274" s="96"/>
      <c r="F274" s="96"/>
      <c r="G274" s="96"/>
      <c r="H274" s="96"/>
      <c r="I274" s="96"/>
      <c r="J274" s="96"/>
      <c r="K274" s="85"/>
      <c r="L274" s="85"/>
      <c r="M274" s="85"/>
      <c r="N274" s="85"/>
    </row>
    <row r="275" spans="1:14" ht="15.75" customHeight="1" x14ac:dyDescent="0.2">
      <c r="A275" s="75"/>
      <c r="B275" s="75"/>
      <c r="C275" s="75"/>
      <c r="D275" s="76"/>
      <c r="E275" s="76"/>
      <c r="F275" s="76"/>
      <c r="G275" s="97"/>
      <c r="H275" s="97"/>
      <c r="I275" s="97"/>
      <c r="J275" s="97"/>
      <c r="K275" s="85"/>
      <c r="L275" s="85"/>
      <c r="M275" s="85"/>
      <c r="N275" s="85"/>
    </row>
    <row r="276" spans="1:14" x14ac:dyDescent="0.2">
      <c r="A276" s="75"/>
      <c r="B276" s="75"/>
      <c r="C276" s="75"/>
      <c r="D276" s="98"/>
      <c r="E276" s="98"/>
      <c r="F276" s="98"/>
      <c r="G276" s="97"/>
      <c r="H276" s="97"/>
      <c r="I276" s="97"/>
      <c r="J276" s="97"/>
      <c r="K276" s="85"/>
      <c r="L276" s="85"/>
      <c r="M276" s="85"/>
      <c r="N276" s="85"/>
    </row>
    <row r="277" spans="1:14" ht="15.75" customHeight="1" x14ac:dyDescent="0.2">
      <c r="A277" s="75"/>
      <c r="B277" s="75"/>
      <c r="C277" s="75"/>
      <c r="D277" s="75"/>
      <c r="E277" s="75"/>
      <c r="F277" s="75"/>
      <c r="G277" s="75"/>
      <c r="H277" s="75"/>
      <c r="I277" s="75"/>
      <c r="J277" s="6"/>
      <c r="K277" s="85"/>
      <c r="L277" s="85"/>
      <c r="M277" s="85"/>
      <c r="N277" s="85"/>
    </row>
    <row r="278" spans="1:14" ht="15.75" customHeight="1" x14ac:dyDescent="0.2">
      <c r="A278" s="75"/>
      <c r="B278" s="75"/>
      <c r="C278" s="75"/>
      <c r="D278" s="75"/>
      <c r="E278" s="75"/>
      <c r="F278" s="75"/>
      <c r="G278" s="75"/>
      <c r="H278" s="75"/>
      <c r="I278" s="75"/>
      <c r="J278" s="6"/>
      <c r="K278" s="85"/>
      <c r="L278" s="85"/>
      <c r="M278" s="85"/>
      <c r="N278" s="85"/>
    </row>
    <row r="279" spans="1:14" x14ac:dyDescent="0.2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85"/>
      <c r="L279" s="85"/>
      <c r="M279" s="85"/>
      <c r="N279" s="85"/>
    </row>
    <row r="280" spans="1:14" x14ac:dyDescent="0.2">
      <c r="A280" s="99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</row>
    <row r="281" spans="1:14" x14ac:dyDescent="0.2">
      <c r="A281" s="6"/>
      <c r="B281" s="75"/>
      <c r="C281" s="75"/>
      <c r="D281" s="6"/>
      <c r="E281" s="6"/>
      <c r="F281" s="6"/>
      <c r="G281" s="6"/>
      <c r="H281" s="6"/>
      <c r="I281" s="6"/>
      <c r="J281" s="6"/>
      <c r="K281" s="85"/>
      <c r="L281" s="85"/>
      <c r="M281" s="85"/>
      <c r="N281" s="85"/>
    </row>
    <row r="282" spans="1:14" x14ac:dyDescent="0.2">
      <c r="A282" s="6"/>
      <c r="B282" s="75"/>
      <c r="C282" s="75"/>
      <c r="D282" s="6"/>
      <c r="E282" s="6"/>
      <c r="F282" s="6"/>
      <c r="G282" s="6"/>
      <c r="H282" s="6"/>
      <c r="I282" s="6"/>
      <c r="J282" s="6"/>
      <c r="K282" s="85"/>
      <c r="L282" s="85"/>
      <c r="M282" s="85"/>
      <c r="N282" s="85"/>
    </row>
    <row r="283" spans="1:14" x14ac:dyDescent="0.2">
      <c r="A283" s="6"/>
      <c r="B283" s="87"/>
      <c r="C283" s="87"/>
      <c r="D283" s="6"/>
      <c r="E283" s="6"/>
      <c r="F283" s="6"/>
      <c r="G283" s="6"/>
      <c r="H283" s="6"/>
      <c r="I283" s="6"/>
      <c r="J283" s="6"/>
      <c r="K283" s="85"/>
      <c r="L283" s="85"/>
      <c r="M283" s="85"/>
      <c r="N283" s="85"/>
    </row>
    <row r="284" spans="1:14" x14ac:dyDescent="0.2">
      <c r="A284" s="99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</row>
    <row r="285" spans="1:14" x14ac:dyDescent="0.2">
      <c r="A285" s="75"/>
      <c r="B285" s="6"/>
      <c r="C285" s="6"/>
      <c r="D285" s="96"/>
      <c r="E285" s="96"/>
      <c r="F285" s="96"/>
      <c r="G285" s="76"/>
      <c r="H285" s="85"/>
      <c r="I285" s="85"/>
      <c r="J285" s="85"/>
      <c r="K285" s="85"/>
      <c r="L285" s="85"/>
      <c r="M285" s="85"/>
      <c r="N285" s="85"/>
    </row>
    <row r="286" spans="1:14" x14ac:dyDescent="0.2">
      <c r="A286" s="75"/>
      <c r="B286" s="6"/>
      <c r="C286" s="6"/>
      <c r="D286" s="96"/>
      <c r="E286" s="96"/>
      <c r="F286" s="96"/>
      <c r="G286" s="76"/>
      <c r="H286" s="85"/>
      <c r="I286" s="85"/>
      <c r="J286" s="85"/>
      <c r="K286" s="85"/>
      <c r="L286" s="85"/>
      <c r="M286" s="85"/>
      <c r="N286" s="85"/>
    </row>
    <row r="287" spans="1:14" ht="15.75" customHeight="1" x14ac:dyDescent="0.2">
      <c r="A287" s="75"/>
      <c r="B287" s="75"/>
      <c r="C287" s="75"/>
      <c r="D287" s="76"/>
      <c r="E287" s="76"/>
      <c r="F287" s="76"/>
      <c r="G287" s="75"/>
      <c r="H287" s="85"/>
      <c r="I287" s="85"/>
      <c r="J287" s="85"/>
      <c r="K287" s="85"/>
      <c r="L287" s="85"/>
      <c r="M287" s="85"/>
      <c r="N287" s="85"/>
    </row>
    <row r="288" spans="1:14" x14ac:dyDescent="0.2">
      <c r="A288" s="75"/>
      <c r="B288" s="75"/>
      <c r="C288" s="75"/>
      <c r="D288" s="98"/>
      <c r="E288" s="98"/>
      <c r="F288" s="98"/>
      <c r="G288" s="75"/>
      <c r="H288" s="85"/>
      <c r="I288" s="85"/>
      <c r="J288" s="85"/>
      <c r="K288" s="85"/>
      <c r="L288" s="85"/>
      <c r="M288" s="85"/>
      <c r="N288" s="85"/>
    </row>
    <row r="289" spans="1:14" ht="15.75" customHeight="1" x14ac:dyDescent="0.2">
      <c r="A289" s="75"/>
      <c r="B289" s="75"/>
      <c r="C289" s="75"/>
      <c r="D289" s="75"/>
      <c r="E289" s="75"/>
      <c r="F289" s="75"/>
      <c r="G289" s="75"/>
      <c r="H289" s="85"/>
      <c r="I289" s="85"/>
      <c r="J289" s="85"/>
      <c r="K289" s="85"/>
      <c r="L289" s="85"/>
      <c r="M289" s="85"/>
      <c r="N289" s="85"/>
    </row>
    <row r="290" spans="1:14" ht="15.75" customHeight="1" x14ac:dyDescent="0.2">
      <c r="A290" s="75"/>
      <c r="B290" s="75"/>
      <c r="C290" s="75"/>
      <c r="D290" s="75"/>
      <c r="E290" s="75"/>
      <c r="F290" s="75"/>
      <c r="G290" s="75"/>
      <c r="H290" s="85"/>
      <c r="I290" s="85"/>
      <c r="J290" s="85"/>
      <c r="K290" s="85"/>
      <c r="L290" s="85"/>
      <c r="M290" s="85"/>
      <c r="N290" s="85"/>
    </row>
    <row r="291" spans="1:14" x14ac:dyDescent="0.2">
      <c r="A291" s="75"/>
      <c r="B291" s="75"/>
      <c r="C291" s="75"/>
      <c r="D291" s="75"/>
      <c r="E291" s="75"/>
      <c r="F291" s="75"/>
      <c r="G291" s="75"/>
      <c r="H291" s="85"/>
      <c r="I291" s="85"/>
      <c r="J291" s="85"/>
      <c r="K291" s="85"/>
      <c r="L291" s="85"/>
      <c r="M291" s="85"/>
      <c r="N291" s="85"/>
    </row>
    <row r="292" spans="1:14" x14ac:dyDescent="0.2">
      <c r="A292" s="99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</row>
    <row r="293" spans="1:14" x14ac:dyDescent="0.2">
      <c r="A293" s="75"/>
      <c r="B293" s="75"/>
      <c r="C293" s="75"/>
      <c r="D293" s="6"/>
      <c r="E293" s="6"/>
      <c r="F293" s="6"/>
      <c r="G293" s="76"/>
      <c r="H293" s="85"/>
      <c r="I293" s="85"/>
      <c r="J293" s="85"/>
      <c r="K293" s="85"/>
      <c r="L293" s="85"/>
      <c r="M293" s="85"/>
      <c r="N293" s="85"/>
    </row>
    <row r="294" spans="1:14" x14ac:dyDescent="0.2">
      <c r="A294" s="75"/>
      <c r="B294" s="75"/>
      <c r="C294" s="75"/>
      <c r="D294" s="6"/>
      <c r="E294" s="6"/>
      <c r="F294" s="6"/>
      <c r="G294" s="76"/>
      <c r="H294" s="85"/>
      <c r="I294" s="85"/>
      <c r="J294" s="85"/>
      <c r="K294" s="85"/>
      <c r="L294" s="85"/>
      <c r="M294" s="85"/>
      <c r="N294" s="85"/>
    </row>
    <row r="295" spans="1:14" x14ac:dyDescent="0.2">
      <c r="A295" s="75"/>
      <c r="B295" s="87"/>
      <c r="C295" s="87"/>
      <c r="D295" s="6"/>
      <c r="E295" s="6"/>
      <c r="F295" s="6"/>
      <c r="G295" s="100"/>
      <c r="H295" s="85"/>
      <c r="I295" s="85"/>
      <c r="J295" s="85"/>
      <c r="K295" s="85"/>
      <c r="L295" s="85"/>
      <c r="M295" s="85"/>
      <c r="N295" s="85"/>
    </row>
    <row r="296" spans="1:14" x14ac:dyDescent="0.2">
      <c r="A296" s="101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</row>
    <row r="297" spans="1:14" x14ac:dyDescent="0.2">
      <c r="A297" s="101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</row>
    <row r="298" spans="1:14" ht="18.75" customHeight="1" x14ac:dyDescent="0.2">
      <c r="A298" s="6"/>
      <c r="B298" s="6"/>
      <c r="C298" s="6"/>
      <c r="D298" s="75"/>
      <c r="E298" s="75"/>
      <c r="F298" s="75"/>
      <c r="G298" s="75"/>
      <c r="H298" s="85"/>
      <c r="I298" s="85"/>
      <c r="J298" s="85"/>
      <c r="K298" s="85"/>
      <c r="L298" s="85"/>
      <c r="M298" s="85"/>
      <c r="N298" s="85"/>
    </row>
    <row r="299" spans="1:14" x14ac:dyDescent="0.2">
      <c r="A299" s="6"/>
      <c r="B299" s="6"/>
      <c r="C299" s="6"/>
      <c r="D299" s="75"/>
      <c r="E299" s="75"/>
      <c r="F299" s="75"/>
      <c r="G299" s="75"/>
      <c r="H299" s="85"/>
      <c r="I299" s="85"/>
      <c r="J299" s="85"/>
      <c r="K299" s="85"/>
      <c r="L299" s="85"/>
      <c r="M299" s="85"/>
      <c r="N299" s="85"/>
    </row>
    <row r="300" spans="1:14" x14ac:dyDescent="0.2">
      <c r="A300" s="75"/>
      <c r="B300" s="75"/>
      <c r="C300" s="75"/>
      <c r="D300" s="6"/>
      <c r="E300" s="6"/>
      <c r="F300" s="6"/>
      <c r="G300" s="6"/>
      <c r="H300" s="85"/>
      <c r="I300" s="85"/>
      <c r="J300" s="85"/>
      <c r="K300" s="85"/>
      <c r="L300" s="85"/>
      <c r="M300" s="85"/>
      <c r="N300" s="85"/>
    </row>
    <row r="301" spans="1:14" x14ac:dyDescent="0.2">
      <c r="A301" s="75"/>
      <c r="B301" s="75"/>
      <c r="C301" s="75"/>
      <c r="D301" s="6"/>
      <c r="E301" s="6"/>
      <c r="F301" s="6"/>
      <c r="G301" s="6"/>
      <c r="H301" s="85"/>
      <c r="I301" s="85"/>
      <c r="J301" s="85"/>
      <c r="K301" s="85"/>
      <c r="L301" s="85"/>
      <c r="M301" s="85"/>
      <c r="N301" s="85"/>
    </row>
    <row r="302" spans="1:14" x14ac:dyDescent="0.2">
      <c r="A302" s="75"/>
      <c r="B302" s="75"/>
      <c r="C302" s="75"/>
      <c r="D302" s="6"/>
      <c r="E302" s="6"/>
      <c r="F302" s="6"/>
      <c r="G302" s="6"/>
      <c r="H302" s="85"/>
      <c r="I302" s="85"/>
      <c r="J302" s="85"/>
      <c r="K302" s="85"/>
      <c r="L302" s="85"/>
      <c r="M302" s="85"/>
      <c r="N302" s="85"/>
    </row>
    <row r="303" spans="1:14" x14ac:dyDescent="0.2">
      <c r="A303" s="75"/>
      <c r="B303" s="87"/>
      <c r="C303" s="87"/>
      <c r="D303" s="6"/>
      <c r="E303" s="6"/>
      <c r="F303" s="6"/>
      <c r="G303" s="6"/>
      <c r="H303" s="85"/>
      <c r="I303" s="85"/>
      <c r="J303" s="85"/>
      <c r="K303" s="85"/>
      <c r="L303" s="85"/>
      <c r="M303" s="85"/>
      <c r="N303" s="85"/>
    </row>
    <row r="304" spans="1:14" x14ac:dyDescent="0.2">
      <c r="A304" s="101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</row>
    <row r="305" spans="1:14" x14ac:dyDescent="0.2">
      <c r="A305" s="101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</row>
    <row r="306" spans="1:14" x14ac:dyDescent="0.2">
      <c r="A306" s="101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</row>
    <row r="307" spans="1:14" ht="15.75" customHeight="1" x14ac:dyDescent="0.2">
      <c r="A307" s="6"/>
      <c r="B307" s="6"/>
      <c r="C307" s="6"/>
      <c r="D307" s="75"/>
      <c r="E307" s="75"/>
      <c r="F307" s="75"/>
      <c r="G307" s="75"/>
      <c r="H307" s="85"/>
      <c r="I307" s="85"/>
      <c r="J307" s="85"/>
      <c r="K307" s="85"/>
      <c r="L307" s="85"/>
      <c r="M307" s="85"/>
      <c r="N307" s="85"/>
    </row>
    <row r="308" spans="1:14" x14ac:dyDescent="0.2">
      <c r="A308" s="6"/>
      <c r="B308" s="6"/>
      <c r="C308" s="6"/>
      <c r="D308" s="75"/>
      <c r="E308" s="75"/>
      <c r="F308" s="75"/>
      <c r="G308" s="75"/>
      <c r="H308" s="85"/>
      <c r="I308" s="85"/>
      <c r="J308" s="85"/>
      <c r="K308" s="85"/>
      <c r="L308" s="85"/>
      <c r="M308" s="85"/>
      <c r="N308" s="85"/>
    </row>
    <row r="309" spans="1:14" x14ac:dyDescent="0.2">
      <c r="A309" s="75"/>
      <c r="B309" s="75"/>
      <c r="C309" s="75"/>
      <c r="D309" s="6"/>
      <c r="E309" s="6"/>
      <c r="F309" s="6"/>
      <c r="G309" s="6"/>
      <c r="H309" s="85"/>
      <c r="I309" s="85"/>
      <c r="J309" s="85"/>
      <c r="K309" s="85"/>
      <c r="L309" s="85"/>
      <c r="M309" s="85"/>
      <c r="N309" s="85"/>
    </row>
    <row r="310" spans="1:14" x14ac:dyDescent="0.2">
      <c r="A310" s="75"/>
      <c r="B310" s="75"/>
      <c r="C310" s="75"/>
      <c r="D310" s="6"/>
      <c r="E310" s="6"/>
      <c r="F310" s="6"/>
      <c r="G310" s="6"/>
      <c r="H310" s="85"/>
      <c r="I310" s="85"/>
      <c r="J310" s="85"/>
      <c r="K310" s="85"/>
      <c r="L310" s="85"/>
      <c r="M310" s="85"/>
      <c r="N310" s="85"/>
    </row>
    <row r="311" spans="1:14" x14ac:dyDescent="0.2">
      <c r="A311" s="75"/>
      <c r="B311" s="75"/>
      <c r="C311" s="75"/>
      <c r="D311" s="6"/>
      <c r="E311" s="6"/>
      <c r="F311" s="6"/>
      <c r="G311" s="6"/>
      <c r="H311" s="85"/>
      <c r="I311" s="85"/>
      <c r="J311" s="85"/>
      <c r="K311" s="85"/>
      <c r="L311" s="85"/>
      <c r="M311" s="85"/>
      <c r="N311" s="85"/>
    </row>
    <row r="312" spans="1:14" x14ac:dyDescent="0.2">
      <c r="A312" s="75"/>
      <c r="B312" s="87"/>
      <c r="C312" s="87"/>
      <c r="D312" s="6"/>
      <c r="E312" s="6"/>
      <c r="F312" s="6"/>
      <c r="G312" s="102"/>
      <c r="H312" s="85"/>
      <c r="I312" s="85"/>
      <c r="J312" s="85"/>
      <c r="K312" s="85"/>
      <c r="L312" s="85"/>
      <c r="M312" s="85"/>
      <c r="N312" s="85"/>
    </row>
    <row r="313" spans="1:14" x14ac:dyDescent="0.2">
      <c r="A313" s="91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</row>
    <row r="314" spans="1:14" x14ac:dyDescent="0.2">
      <c r="A314" s="92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</row>
    <row r="315" spans="1:14" x14ac:dyDescent="0.2">
      <c r="A315" s="90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</row>
    <row r="316" spans="1:14" ht="31.5" customHeight="1" x14ac:dyDescent="0.2">
      <c r="A316" s="6"/>
      <c r="B316" s="6"/>
      <c r="C316" s="6"/>
      <c r="D316" s="76"/>
      <c r="E316" s="76"/>
      <c r="F316" s="76"/>
      <c r="G316" s="85"/>
      <c r="H316" s="85"/>
      <c r="I316" s="85"/>
      <c r="J316" s="85"/>
      <c r="K316" s="85"/>
      <c r="L316" s="85"/>
      <c r="M316" s="85"/>
      <c r="N316" s="85"/>
    </row>
    <row r="317" spans="1:14" ht="31.5" customHeight="1" x14ac:dyDescent="0.2">
      <c r="A317" s="6"/>
      <c r="B317" s="6"/>
      <c r="C317" s="6"/>
      <c r="D317" s="6"/>
      <c r="E317" s="6"/>
      <c r="F317" s="6"/>
      <c r="G317" s="85"/>
      <c r="H317" s="85"/>
      <c r="I317" s="85"/>
      <c r="J317" s="85"/>
      <c r="K317" s="85"/>
      <c r="L317" s="85"/>
      <c r="M317" s="85"/>
      <c r="N317" s="85"/>
    </row>
    <row r="318" spans="1:14" ht="15.75" customHeight="1" x14ac:dyDescent="0.2">
      <c r="A318" s="75"/>
      <c r="B318" s="75"/>
      <c r="C318" s="75"/>
      <c r="D318" s="75"/>
      <c r="E318" s="75"/>
      <c r="F318" s="75"/>
      <c r="G318" s="85"/>
      <c r="H318" s="85"/>
      <c r="I318" s="85"/>
      <c r="J318" s="85"/>
      <c r="K318" s="85"/>
      <c r="L318" s="85"/>
      <c r="M318" s="85"/>
      <c r="N318" s="85"/>
    </row>
    <row r="319" spans="1:14" ht="15" customHeight="1" x14ac:dyDescent="0.2">
      <c r="A319" s="75"/>
      <c r="B319" s="75"/>
      <c r="C319" s="75"/>
      <c r="D319" s="75"/>
      <c r="E319" s="75"/>
      <c r="F319" s="75"/>
      <c r="G319" s="85"/>
      <c r="H319" s="85"/>
      <c r="I319" s="85"/>
      <c r="J319" s="85"/>
      <c r="K319" s="85"/>
      <c r="L319" s="85"/>
      <c r="M319" s="85"/>
      <c r="N319" s="85"/>
    </row>
    <row r="320" spans="1:14" x14ac:dyDescent="0.2">
      <c r="A320" s="75"/>
      <c r="B320" s="75"/>
      <c r="C320" s="75"/>
      <c r="D320" s="75"/>
      <c r="E320" s="75"/>
      <c r="F320" s="75"/>
      <c r="G320" s="85"/>
      <c r="H320" s="85"/>
      <c r="I320" s="85"/>
      <c r="J320" s="85"/>
      <c r="K320" s="85"/>
      <c r="L320" s="85"/>
      <c r="M320" s="85"/>
      <c r="N320" s="85"/>
    </row>
    <row r="321" spans="1:14" x14ac:dyDescent="0.2">
      <c r="A321" s="88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</row>
    <row r="322" spans="1:14" x14ac:dyDescent="0.2">
      <c r="A322" s="79"/>
      <c r="B322" s="75"/>
      <c r="C322" s="75"/>
      <c r="D322" s="6"/>
      <c r="E322" s="6"/>
      <c r="F322" s="6"/>
      <c r="G322" s="85"/>
      <c r="H322" s="85"/>
      <c r="I322" s="85"/>
      <c r="J322" s="85"/>
      <c r="K322" s="85"/>
      <c r="L322" s="85"/>
      <c r="M322" s="85"/>
      <c r="N322" s="85"/>
    </row>
    <row r="323" spans="1:14" x14ac:dyDescent="0.2">
      <c r="A323" s="79"/>
      <c r="B323" s="75"/>
      <c r="C323" s="75"/>
      <c r="D323" s="6"/>
      <c r="E323" s="6"/>
      <c r="F323" s="6"/>
      <c r="G323" s="85"/>
      <c r="H323" s="85"/>
      <c r="I323" s="85"/>
      <c r="J323" s="85"/>
      <c r="K323" s="85"/>
      <c r="L323" s="85"/>
      <c r="M323" s="85"/>
      <c r="N323" s="85"/>
    </row>
    <row r="324" spans="1:14" x14ac:dyDescent="0.2">
      <c r="A324" s="75"/>
      <c r="B324" s="87"/>
      <c r="C324" s="87"/>
      <c r="D324" s="77"/>
      <c r="E324" s="77"/>
      <c r="F324" s="77"/>
      <c r="G324" s="85"/>
      <c r="H324" s="85"/>
      <c r="I324" s="85"/>
      <c r="J324" s="85"/>
      <c r="K324" s="85"/>
      <c r="L324" s="85"/>
      <c r="M324" s="85"/>
      <c r="N324" s="85"/>
    </row>
    <row r="325" spans="1:14" x14ac:dyDescent="0.2">
      <c r="A325" s="103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</row>
    <row r="326" spans="1:14" x14ac:dyDescent="0.2">
      <c r="A326" s="79"/>
      <c r="B326" s="79"/>
      <c r="C326" s="79"/>
      <c r="D326" s="77"/>
      <c r="E326" s="77"/>
      <c r="F326" s="77"/>
      <c r="G326" s="85"/>
      <c r="H326" s="85"/>
      <c r="I326" s="85"/>
      <c r="J326" s="85"/>
      <c r="K326" s="85"/>
      <c r="L326" s="85"/>
      <c r="M326" s="85"/>
      <c r="N326" s="85"/>
    </row>
    <row r="327" spans="1:14" x14ac:dyDescent="0.2">
      <c r="A327" s="79"/>
      <c r="B327" s="79"/>
      <c r="C327" s="79"/>
      <c r="D327" s="77"/>
      <c r="E327" s="77"/>
      <c r="F327" s="77"/>
      <c r="G327" s="85"/>
      <c r="H327" s="85"/>
      <c r="I327" s="85"/>
      <c r="J327" s="85"/>
      <c r="K327" s="85"/>
      <c r="L327" s="85"/>
      <c r="M327" s="85"/>
      <c r="N327" s="85"/>
    </row>
    <row r="328" spans="1:14" x14ac:dyDescent="0.2">
      <c r="A328" s="79"/>
      <c r="B328" s="104"/>
      <c r="C328" s="104"/>
      <c r="D328" s="77"/>
      <c r="E328" s="77"/>
      <c r="F328" s="77"/>
      <c r="G328" s="85"/>
      <c r="H328" s="85"/>
      <c r="I328" s="85"/>
      <c r="J328" s="85"/>
      <c r="K328" s="85"/>
      <c r="L328" s="85"/>
      <c r="M328" s="85"/>
      <c r="N328" s="85"/>
    </row>
    <row r="329" spans="1:14" x14ac:dyDescent="0.2">
      <c r="A329" s="10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</row>
    <row r="330" spans="1:14" x14ac:dyDescent="0.2">
      <c r="A330" s="79"/>
      <c r="B330" s="79"/>
      <c r="C330" s="79"/>
      <c r="D330" s="77"/>
      <c r="E330" s="77"/>
      <c r="F330" s="77"/>
      <c r="G330" s="85"/>
      <c r="H330" s="85"/>
      <c r="I330" s="85"/>
      <c r="J330" s="85"/>
      <c r="K330" s="85"/>
      <c r="L330" s="85"/>
      <c r="M330" s="85"/>
      <c r="N330" s="85"/>
    </row>
    <row r="331" spans="1:14" x14ac:dyDescent="0.2">
      <c r="A331" s="79"/>
      <c r="B331" s="79"/>
      <c r="C331" s="79"/>
      <c r="D331" s="77"/>
      <c r="E331" s="77"/>
      <c r="F331" s="77"/>
      <c r="G331" s="85"/>
      <c r="H331" s="85"/>
      <c r="I331" s="85"/>
      <c r="J331" s="85"/>
      <c r="K331" s="85"/>
      <c r="L331" s="85"/>
      <c r="M331" s="85"/>
      <c r="N331" s="85"/>
    </row>
    <row r="332" spans="1:14" x14ac:dyDescent="0.2">
      <c r="A332" s="79"/>
      <c r="B332" s="104"/>
      <c r="C332" s="104"/>
      <c r="D332" s="77"/>
      <c r="E332" s="77"/>
      <c r="F332" s="77"/>
      <c r="G332" s="85"/>
      <c r="H332" s="85"/>
      <c r="I332" s="85"/>
      <c r="J332" s="85"/>
      <c r="K332" s="85"/>
      <c r="L332" s="85"/>
      <c r="M332" s="85"/>
      <c r="N332" s="85"/>
    </row>
    <row r="333" spans="1:14" x14ac:dyDescent="0.2">
      <c r="A333" s="106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</row>
    <row r="334" spans="1:14" x14ac:dyDescent="0.2">
      <c r="A334" s="106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</row>
    <row r="335" spans="1:14" x14ac:dyDescent="0.2">
      <c r="A335" s="106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</row>
    <row r="336" spans="1:14" x14ac:dyDescent="0.2">
      <c r="A336" s="106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</row>
    <row r="337" spans="1:14" x14ac:dyDescent="0.2">
      <c r="A337" s="106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</row>
    <row r="338" spans="1:14" x14ac:dyDescent="0.2">
      <c r="A338" s="106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</row>
    <row r="339" spans="1:14" x14ac:dyDescent="0.2">
      <c r="A339" s="106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</row>
    <row r="340" spans="1:14" x14ac:dyDescent="0.2">
      <c r="A340" s="106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</row>
    <row r="341" spans="1:14" ht="15.75" customHeight="1" x14ac:dyDescent="0.2">
      <c r="A341" s="79"/>
      <c r="B341" s="77"/>
      <c r="C341" s="77"/>
      <c r="D341" s="107"/>
      <c r="E341" s="107"/>
      <c r="F341" s="107"/>
      <c r="G341" s="107"/>
      <c r="H341" s="107"/>
      <c r="I341" s="107"/>
      <c r="J341" s="107"/>
      <c r="K341" s="85"/>
      <c r="L341" s="85"/>
      <c r="M341" s="85"/>
      <c r="N341" s="85"/>
    </row>
    <row r="342" spans="1:14" x14ac:dyDescent="0.2">
      <c r="A342" s="79"/>
      <c r="B342" s="77"/>
      <c r="C342" s="77"/>
      <c r="D342" s="107"/>
      <c r="E342" s="107"/>
      <c r="F342" s="107"/>
      <c r="G342" s="107"/>
      <c r="H342" s="107"/>
      <c r="I342" s="107"/>
      <c r="J342" s="107"/>
      <c r="K342" s="85"/>
      <c r="L342" s="85"/>
      <c r="M342" s="85"/>
      <c r="N342" s="85"/>
    </row>
    <row r="343" spans="1:14" ht="15.75" customHeight="1" x14ac:dyDescent="0.2">
      <c r="A343" s="79"/>
      <c r="B343" s="75"/>
      <c r="C343" s="75"/>
      <c r="D343" s="78"/>
      <c r="E343" s="78"/>
      <c r="F343" s="78"/>
      <c r="G343" s="108"/>
      <c r="H343" s="108"/>
      <c r="I343" s="108"/>
      <c r="J343" s="108"/>
      <c r="K343" s="85"/>
      <c r="L343" s="85"/>
      <c r="M343" s="85"/>
      <c r="N343" s="85"/>
    </row>
    <row r="344" spans="1:14" x14ac:dyDescent="0.2">
      <c r="A344" s="79"/>
      <c r="B344" s="75"/>
      <c r="C344" s="75"/>
      <c r="D344" s="109"/>
      <c r="E344" s="109"/>
      <c r="F344" s="109"/>
      <c r="G344" s="108"/>
      <c r="H344" s="108"/>
      <c r="I344" s="108"/>
      <c r="J344" s="108"/>
      <c r="K344" s="85"/>
      <c r="L344" s="85"/>
      <c r="M344" s="85"/>
      <c r="N344" s="85"/>
    </row>
    <row r="345" spans="1:14" ht="15.75" customHeight="1" x14ac:dyDescent="0.2">
      <c r="A345" s="79"/>
      <c r="B345" s="75"/>
      <c r="C345" s="75"/>
      <c r="D345" s="79"/>
      <c r="E345" s="79"/>
      <c r="F345" s="79"/>
      <c r="G345" s="79"/>
      <c r="H345" s="79"/>
      <c r="I345" s="79"/>
      <c r="J345" s="77"/>
      <c r="K345" s="85"/>
      <c r="L345" s="85"/>
      <c r="M345" s="85"/>
      <c r="N345" s="85"/>
    </row>
    <row r="346" spans="1:14" ht="15.75" customHeight="1" x14ac:dyDescent="0.2">
      <c r="A346" s="79"/>
      <c r="B346" s="75"/>
      <c r="C346" s="75"/>
      <c r="D346" s="79"/>
      <c r="E346" s="79"/>
      <c r="F346" s="79"/>
      <c r="G346" s="79"/>
      <c r="H346" s="79"/>
      <c r="I346" s="79"/>
      <c r="J346" s="77"/>
      <c r="K346" s="85"/>
      <c r="L346" s="85"/>
      <c r="M346" s="85"/>
      <c r="N346" s="85"/>
    </row>
    <row r="347" spans="1:14" x14ac:dyDescent="0.2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85"/>
      <c r="L347" s="85"/>
      <c r="M347" s="85"/>
      <c r="N347" s="85"/>
    </row>
    <row r="348" spans="1:14" x14ac:dyDescent="0.2">
      <c r="A348" s="103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</row>
    <row r="349" spans="1:14" x14ac:dyDescent="0.2">
      <c r="A349" s="79"/>
      <c r="B349" s="79"/>
      <c r="C349" s="79"/>
      <c r="D349" s="77"/>
      <c r="E349" s="77"/>
      <c r="F349" s="77"/>
      <c r="G349" s="77"/>
      <c r="H349" s="77"/>
      <c r="I349" s="77"/>
      <c r="J349" s="77"/>
      <c r="K349" s="85"/>
      <c r="L349" s="85"/>
      <c r="M349" s="85"/>
      <c r="N349" s="85"/>
    </row>
    <row r="350" spans="1:14" x14ac:dyDescent="0.2">
      <c r="A350" s="79"/>
      <c r="B350" s="79"/>
      <c r="C350" s="79"/>
      <c r="D350" s="77"/>
      <c r="E350" s="77"/>
      <c r="F350" s="77"/>
      <c r="G350" s="77"/>
      <c r="H350" s="77"/>
      <c r="I350" s="77"/>
      <c r="J350" s="77"/>
      <c r="K350" s="85"/>
      <c r="L350" s="85"/>
      <c r="M350" s="85"/>
      <c r="N350" s="85"/>
    </row>
    <row r="351" spans="1:14" x14ac:dyDescent="0.2">
      <c r="A351" s="79"/>
      <c r="B351" s="104"/>
      <c r="C351" s="104"/>
      <c r="D351" s="77"/>
      <c r="E351" s="77"/>
      <c r="F351" s="77"/>
      <c r="G351" s="77"/>
      <c r="H351" s="77"/>
      <c r="I351" s="77"/>
      <c r="J351" s="77"/>
      <c r="K351" s="85"/>
      <c r="L351" s="85"/>
      <c r="M351" s="85"/>
      <c r="N351" s="85"/>
    </row>
    <row r="352" spans="1:14" x14ac:dyDescent="0.2">
      <c r="A352" s="103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</row>
    <row r="353" spans="1:14" x14ac:dyDescent="0.2">
      <c r="A353" s="79"/>
      <c r="B353" s="79"/>
      <c r="C353" s="79"/>
      <c r="D353" s="77"/>
      <c r="E353" s="77"/>
      <c r="F353" s="77"/>
      <c r="G353" s="77"/>
      <c r="H353" s="77"/>
      <c r="I353" s="77"/>
      <c r="J353" s="77"/>
      <c r="K353" s="85"/>
      <c r="L353" s="85"/>
      <c r="M353" s="85"/>
      <c r="N353" s="85"/>
    </row>
    <row r="354" spans="1:14" x14ac:dyDescent="0.2">
      <c r="A354" s="79"/>
      <c r="B354" s="79"/>
      <c r="C354" s="79"/>
      <c r="D354" s="77"/>
      <c r="E354" s="77"/>
      <c r="F354" s="77"/>
      <c r="G354" s="77"/>
      <c r="H354" s="77"/>
      <c r="I354" s="77"/>
      <c r="J354" s="77"/>
      <c r="K354" s="85"/>
      <c r="L354" s="85"/>
      <c r="M354" s="85"/>
      <c r="N354" s="85"/>
    </row>
    <row r="355" spans="1:14" x14ac:dyDescent="0.2">
      <c r="A355" s="79"/>
      <c r="B355" s="104"/>
      <c r="C355" s="104"/>
      <c r="D355" s="77"/>
      <c r="E355" s="77"/>
      <c r="F355" s="77"/>
      <c r="G355" s="77"/>
      <c r="H355" s="77"/>
      <c r="I355" s="77"/>
      <c r="J355" s="77"/>
      <c r="K355" s="85"/>
      <c r="L355" s="85"/>
      <c r="M355" s="85"/>
      <c r="N355" s="85"/>
    </row>
    <row r="356" spans="1:14" x14ac:dyDescent="0.2">
      <c r="A356" s="10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</row>
    <row r="357" spans="1:14" x14ac:dyDescent="0.2">
      <c r="A357" s="79"/>
      <c r="B357" s="79"/>
      <c r="C357" s="79"/>
      <c r="D357" s="77"/>
      <c r="E357" s="77"/>
      <c r="F357" s="77"/>
      <c r="G357" s="77"/>
      <c r="H357" s="77"/>
      <c r="I357" s="77"/>
      <c r="J357" s="77"/>
      <c r="K357" s="85"/>
      <c r="L357" s="85"/>
      <c r="M357" s="85"/>
      <c r="N357" s="85"/>
    </row>
    <row r="358" spans="1:14" x14ac:dyDescent="0.2">
      <c r="A358" s="79"/>
      <c r="B358" s="79"/>
      <c r="C358" s="79"/>
      <c r="D358" s="77"/>
      <c r="E358" s="77"/>
      <c r="F358" s="77"/>
      <c r="G358" s="77"/>
      <c r="H358" s="77"/>
      <c r="I358" s="77"/>
      <c r="J358" s="77"/>
      <c r="K358" s="85"/>
      <c r="L358" s="85"/>
      <c r="M358" s="85"/>
      <c r="N358" s="85"/>
    </row>
    <row r="359" spans="1:14" x14ac:dyDescent="0.2">
      <c r="A359" s="79"/>
      <c r="B359" s="104"/>
      <c r="C359" s="104"/>
      <c r="D359" s="77"/>
      <c r="E359" s="77"/>
      <c r="F359" s="77"/>
      <c r="G359" s="77"/>
      <c r="H359" s="77"/>
      <c r="I359" s="77"/>
      <c r="J359" s="77"/>
      <c r="K359" s="85"/>
      <c r="L359" s="85"/>
      <c r="M359" s="85"/>
      <c r="N359" s="85"/>
    </row>
    <row r="360" spans="1:14" x14ac:dyDescent="0.2">
      <c r="A360" s="106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</row>
    <row r="361" spans="1:14" x14ac:dyDescent="0.2">
      <c r="A361" s="106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</row>
    <row r="362" spans="1:14" x14ac:dyDescent="0.2">
      <c r="A362" s="106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</row>
    <row r="363" spans="1:14" x14ac:dyDescent="0.2">
      <c r="A363" s="79"/>
      <c r="B363" s="77"/>
      <c r="C363" s="77"/>
      <c r="D363" s="107"/>
      <c r="E363" s="107"/>
      <c r="F363" s="107"/>
      <c r="G363" s="78"/>
      <c r="H363" s="85"/>
      <c r="I363" s="85"/>
      <c r="J363" s="85"/>
      <c r="K363" s="85"/>
      <c r="L363" s="85"/>
      <c r="M363" s="85"/>
      <c r="N363" s="85"/>
    </row>
    <row r="364" spans="1:14" x14ac:dyDescent="0.2">
      <c r="A364" s="79"/>
      <c r="B364" s="77"/>
      <c r="C364" s="77"/>
      <c r="D364" s="107"/>
      <c r="E364" s="107"/>
      <c r="F364" s="107"/>
      <c r="G364" s="78"/>
      <c r="H364" s="85"/>
      <c r="I364" s="85"/>
      <c r="J364" s="85"/>
      <c r="K364" s="85"/>
      <c r="L364" s="85"/>
      <c r="M364" s="85"/>
      <c r="N364" s="85"/>
    </row>
    <row r="365" spans="1:14" ht="15.75" customHeight="1" x14ac:dyDescent="0.2">
      <c r="A365" s="79"/>
      <c r="B365" s="75"/>
      <c r="C365" s="75"/>
      <c r="D365" s="78"/>
      <c r="E365" s="78"/>
      <c r="F365" s="78"/>
      <c r="G365" s="75"/>
      <c r="H365" s="85"/>
      <c r="I365" s="85"/>
      <c r="J365" s="85"/>
      <c r="K365" s="85"/>
      <c r="L365" s="85"/>
      <c r="M365" s="85"/>
      <c r="N365" s="85"/>
    </row>
    <row r="366" spans="1:14" x14ac:dyDescent="0.2">
      <c r="A366" s="79"/>
      <c r="B366" s="75"/>
      <c r="C366" s="75"/>
      <c r="D366" s="109"/>
      <c r="E366" s="109"/>
      <c r="F366" s="109"/>
      <c r="G366" s="75"/>
      <c r="H366" s="85"/>
      <c r="I366" s="85"/>
      <c r="J366" s="85"/>
      <c r="K366" s="85"/>
      <c r="L366" s="85"/>
      <c r="M366" s="85"/>
      <c r="N366" s="85"/>
    </row>
    <row r="367" spans="1:14" ht="15.75" customHeight="1" x14ac:dyDescent="0.2">
      <c r="A367" s="79"/>
      <c r="B367" s="75"/>
      <c r="C367" s="75"/>
      <c r="D367" s="79"/>
      <c r="E367" s="79"/>
      <c r="F367" s="79"/>
      <c r="G367" s="75"/>
      <c r="H367" s="85"/>
      <c r="I367" s="85"/>
      <c r="J367" s="85"/>
      <c r="K367" s="85"/>
      <c r="L367" s="85"/>
      <c r="M367" s="85"/>
      <c r="N367" s="85"/>
    </row>
    <row r="368" spans="1:14" ht="15.75" customHeight="1" x14ac:dyDescent="0.2">
      <c r="A368" s="79"/>
      <c r="B368" s="75"/>
      <c r="C368" s="75"/>
      <c r="D368" s="79"/>
      <c r="E368" s="79"/>
      <c r="F368" s="79"/>
      <c r="G368" s="75"/>
      <c r="H368" s="85"/>
      <c r="I368" s="85"/>
      <c r="J368" s="85"/>
      <c r="K368" s="85"/>
      <c r="L368" s="85"/>
      <c r="M368" s="85"/>
      <c r="N368" s="85"/>
    </row>
    <row r="369" spans="1:14" x14ac:dyDescent="0.2">
      <c r="A369" s="75"/>
      <c r="B369" s="75"/>
      <c r="C369" s="75"/>
      <c r="D369" s="75"/>
      <c r="E369" s="75"/>
      <c r="F369" s="75"/>
      <c r="G369" s="75"/>
      <c r="H369" s="85"/>
      <c r="I369" s="85"/>
      <c r="J369" s="85"/>
      <c r="K369" s="85"/>
      <c r="L369" s="85"/>
      <c r="M369" s="85"/>
      <c r="N369" s="85"/>
    </row>
    <row r="370" spans="1:14" x14ac:dyDescent="0.2">
      <c r="A370" s="103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</row>
    <row r="371" spans="1:14" x14ac:dyDescent="0.2">
      <c r="A371" s="79"/>
      <c r="B371" s="79"/>
      <c r="C371" s="79"/>
      <c r="D371" s="77"/>
      <c r="E371" s="77"/>
      <c r="F371" s="77"/>
      <c r="G371" s="78"/>
      <c r="H371" s="85"/>
      <c r="I371" s="85"/>
      <c r="J371" s="85"/>
      <c r="K371" s="85"/>
      <c r="L371" s="85"/>
      <c r="M371" s="85"/>
      <c r="N371" s="85"/>
    </row>
    <row r="372" spans="1:14" x14ac:dyDescent="0.2">
      <c r="A372" s="79"/>
      <c r="B372" s="79"/>
      <c r="C372" s="79"/>
      <c r="D372" s="77"/>
      <c r="E372" s="77"/>
      <c r="F372" s="77"/>
      <c r="G372" s="78"/>
      <c r="H372" s="85"/>
      <c r="I372" s="85"/>
      <c r="J372" s="85"/>
      <c r="K372" s="85"/>
      <c r="L372" s="85"/>
      <c r="M372" s="85"/>
      <c r="N372" s="85"/>
    </row>
    <row r="373" spans="1:14" x14ac:dyDescent="0.2">
      <c r="A373" s="79"/>
      <c r="B373" s="104"/>
      <c r="C373" s="104"/>
      <c r="D373" s="77"/>
      <c r="E373" s="79"/>
      <c r="F373" s="79"/>
      <c r="G373" s="78"/>
      <c r="H373" s="85"/>
      <c r="I373" s="85"/>
      <c r="J373" s="85"/>
      <c r="K373" s="85"/>
      <c r="L373" s="85"/>
      <c r="M373" s="85"/>
      <c r="N373" s="85"/>
    </row>
    <row r="374" spans="1:14" x14ac:dyDescent="0.2">
      <c r="A374" s="103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</row>
    <row r="375" spans="1:14" x14ac:dyDescent="0.2">
      <c r="A375" s="79"/>
      <c r="B375" s="79"/>
      <c r="C375" s="79"/>
      <c r="D375" s="77"/>
      <c r="E375" s="77"/>
      <c r="F375" s="77"/>
      <c r="G375" s="78"/>
      <c r="H375" s="85"/>
      <c r="I375" s="85"/>
      <c r="J375" s="85"/>
      <c r="K375" s="85"/>
      <c r="L375" s="85"/>
      <c r="M375" s="85"/>
      <c r="N375" s="85"/>
    </row>
    <row r="376" spans="1:14" x14ac:dyDescent="0.2">
      <c r="A376" s="79"/>
      <c r="B376" s="79"/>
      <c r="C376" s="79"/>
      <c r="D376" s="77"/>
      <c r="E376" s="77"/>
      <c r="F376" s="77"/>
      <c r="G376" s="78"/>
      <c r="H376" s="85"/>
      <c r="I376" s="85"/>
      <c r="J376" s="85"/>
      <c r="K376" s="85"/>
      <c r="L376" s="85"/>
      <c r="M376" s="85"/>
      <c r="N376" s="85"/>
    </row>
    <row r="377" spans="1:14" x14ac:dyDescent="0.2">
      <c r="A377" s="79"/>
      <c r="B377" s="104"/>
      <c r="C377" s="104"/>
      <c r="D377" s="77"/>
      <c r="E377" s="77"/>
      <c r="F377" s="77"/>
      <c r="G377" s="78"/>
      <c r="H377" s="85"/>
      <c r="I377" s="85"/>
      <c r="J377" s="85"/>
      <c r="K377" s="85"/>
      <c r="L377" s="85"/>
      <c r="M377" s="85"/>
      <c r="N377" s="85"/>
    </row>
    <row r="378" spans="1:14" x14ac:dyDescent="0.2">
      <c r="A378" s="105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</row>
    <row r="379" spans="1:14" x14ac:dyDescent="0.2">
      <c r="A379" s="79"/>
      <c r="B379" s="79"/>
      <c r="C379" s="79"/>
      <c r="D379" s="77"/>
      <c r="E379" s="77"/>
      <c r="F379" s="77"/>
      <c r="G379" s="78"/>
      <c r="H379" s="85"/>
      <c r="I379" s="85"/>
      <c r="J379" s="85"/>
      <c r="K379" s="85"/>
      <c r="L379" s="85"/>
      <c r="M379" s="85"/>
      <c r="N379" s="85"/>
    </row>
    <row r="380" spans="1:14" x14ac:dyDescent="0.2">
      <c r="A380" s="79"/>
      <c r="B380" s="79"/>
      <c r="C380" s="79"/>
      <c r="D380" s="77"/>
      <c r="E380" s="77"/>
      <c r="F380" s="77"/>
      <c r="G380" s="78"/>
      <c r="H380" s="85"/>
      <c r="I380" s="85"/>
      <c r="J380" s="85"/>
      <c r="K380" s="85"/>
      <c r="L380" s="85"/>
      <c r="M380" s="85"/>
      <c r="N380" s="85"/>
    </row>
    <row r="381" spans="1:14" x14ac:dyDescent="0.2">
      <c r="A381" s="79"/>
      <c r="B381" s="104"/>
      <c r="C381" s="104"/>
      <c r="D381" s="77"/>
      <c r="E381" s="77"/>
      <c r="F381" s="77"/>
      <c r="G381" s="78"/>
      <c r="H381" s="85"/>
      <c r="I381" s="85"/>
      <c r="J381" s="85"/>
      <c r="K381" s="85"/>
      <c r="L381" s="85"/>
      <c r="M381" s="85"/>
      <c r="N381" s="85"/>
    </row>
    <row r="382" spans="1:14" x14ac:dyDescent="0.2">
      <c r="A382" s="106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</row>
    <row r="383" spans="1:14" x14ac:dyDescent="0.2">
      <c r="A383" s="110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</row>
    <row r="384" spans="1:14" x14ac:dyDescent="0.2">
      <c r="A384" s="106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</row>
    <row r="385" spans="1:14" ht="18.75" customHeight="1" x14ac:dyDescent="0.2">
      <c r="A385" s="77"/>
      <c r="B385" s="77"/>
      <c r="C385" s="77"/>
      <c r="D385" s="79"/>
      <c r="E385" s="79"/>
      <c r="F385" s="79"/>
      <c r="G385" s="79"/>
      <c r="H385" s="85"/>
      <c r="I385" s="85"/>
      <c r="J385" s="85"/>
      <c r="K385" s="85"/>
      <c r="L385" s="85"/>
      <c r="M385" s="85"/>
      <c r="N385" s="85"/>
    </row>
    <row r="386" spans="1:14" x14ac:dyDescent="0.2">
      <c r="A386" s="77"/>
      <c r="B386" s="77"/>
      <c r="C386" s="77"/>
      <c r="D386" s="79"/>
      <c r="E386" s="79"/>
      <c r="F386" s="79"/>
      <c r="G386" s="79"/>
      <c r="H386" s="85"/>
      <c r="I386" s="85"/>
      <c r="J386" s="85"/>
      <c r="K386" s="85"/>
      <c r="L386" s="85"/>
      <c r="M386" s="85"/>
      <c r="N386" s="85"/>
    </row>
    <row r="387" spans="1:14" x14ac:dyDescent="0.2">
      <c r="A387" s="75"/>
      <c r="B387" s="75"/>
      <c r="C387" s="75"/>
      <c r="D387" s="77"/>
      <c r="E387" s="77"/>
      <c r="F387" s="77"/>
      <c r="G387" s="77"/>
      <c r="H387" s="85"/>
      <c r="I387" s="85"/>
      <c r="J387" s="85"/>
      <c r="K387" s="85"/>
      <c r="L387" s="85"/>
      <c r="M387" s="85"/>
      <c r="N387" s="85"/>
    </row>
    <row r="388" spans="1:14" x14ac:dyDescent="0.2">
      <c r="A388" s="75"/>
      <c r="B388" s="75"/>
      <c r="C388" s="75"/>
      <c r="D388" s="75"/>
      <c r="E388" s="75"/>
      <c r="F388" s="75"/>
      <c r="G388" s="75"/>
      <c r="H388" s="85"/>
      <c r="I388" s="85"/>
      <c r="J388" s="85"/>
      <c r="K388" s="85"/>
      <c r="L388" s="85"/>
      <c r="M388" s="85"/>
      <c r="N388" s="85"/>
    </row>
    <row r="389" spans="1:14" x14ac:dyDescent="0.2">
      <c r="A389" s="103"/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</row>
    <row r="390" spans="1:14" x14ac:dyDescent="0.2">
      <c r="A390" s="79"/>
      <c r="B390" s="79"/>
      <c r="C390" s="79"/>
      <c r="D390" s="77"/>
      <c r="E390" s="77"/>
      <c r="F390" s="77"/>
      <c r="G390" s="77"/>
      <c r="H390" s="85"/>
      <c r="I390" s="85"/>
      <c r="J390" s="85"/>
      <c r="K390" s="85"/>
      <c r="L390" s="85"/>
      <c r="M390" s="85"/>
      <c r="N390" s="85"/>
    </row>
    <row r="391" spans="1:14" x14ac:dyDescent="0.2">
      <c r="A391" s="79"/>
      <c r="B391" s="79"/>
      <c r="C391" s="79"/>
      <c r="D391" s="77"/>
      <c r="E391" s="77"/>
      <c r="F391" s="77"/>
      <c r="G391" s="77"/>
      <c r="H391" s="85"/>
      <c r="I391" s="85"/>
      <c r="J391" s="85"/>
      <c r="K391" s="85"/>
      <c r="L391" s="85"/>
      <c r="M391" s="85"/>
      <c r="N391" s="85"/>
    </row>
    <row r="392" spans="1:14" x14ac:dyDescent="0.2">
      <c r="A392" s="79"/>
      <c r="B392" s="104"/>
      <c r="C392" s="104"/>
      <c r="D392" s="77"/>
      <c r="E392" s="77"/>
      <c r="F392" s="77"/>
      <c r="G392" s="77"/>
      <c r="H392" s="85"/>
      <c r="I392" s="85"/>
      <c r="J392" s="85"/>
      <c r="K392" s="85"/>
      <c r="L392" s="85"/>
      <c r="M392" s="85"/>
      <c r="N392" s="85"/>
    </row>
    <row r="393" spans="1:14" x14ac:dyDescent="0.2">
      <c r="A393" s="103"/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</row>
    <row r="394" spans="1:14" x14ac:dyDescent="0.2">
      <c r="A394" s="79"/>
      <c r="B394" s="79"/>
      <c r="C394" s="79"/>
      <c r="D394" s="77"/>
      <c r="E394" s="77"/>
      <c r="F394" s="77"/>
      <c r="G394" s="77"/>
      <c r="H394" s="85"/>
      <c r="I394" s="85"/>
      <c r="J394" s="85"/>
      <c r="K394" s="85"/>
      <c r="L394" s="85"/>
      <c r="M394" s="85"/>
      <c r="N394" s="85"/>
    </row>
    <row r="395" spans="1:14" x14ac:dyDescent="0.2">
      <c r="A395" s="79"/>
      <c r="B395" s="79"/>
      <c r="C395" s="79"/>
      <c r="D395" s="77"/>
      <c r="E395" s="77"/>
      <c r="F395" s="77"/>
      <c r="G395" s="77"/>
      <c r="H395" s="85"/>
      <c r="I395" s="85"/>
      <c r="J395" s="85"/>
      <c r="K395" s="85"/>
      <c r="L395" s="85"/>
      <c r="M395" s="85"/>
      <c r="N395" s="85"/>
    </row>
    <row r="396" spans="1:14" x14ac:dyDescent="0.2">
      <c r="A396" s="79"/>
      <c r="B396" s="104"/>
      <c r="C396" s="104"/>
      <c r="D396" s="77"/>
      <c r="E396" s="77"/>
      <c r="F396" s="77"/>
      <c r="G396" s="77"/>
      <c r="H396" s="85"/>
      <c r="I396" s="85"/>
      <c r="J396" s="85"/>
      <c r="K396" s="85"/>
      <c r="L396" s="85"/>
      <c r="M396" s="85"/>
      <c r="N396" s="85"/>
    </row>
    <row r="397" spans="1:14" x14ac:dyDescent="0.2">
      <c r="A397" s="105"/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</row>
    <row r="398" spans="1:14" x14ac:dyDescent="0.2">
      <c r="A398" s="79"/>
      <c r="B398" s="79"/>
      <c r="C398" s="79"/>
      <c r="D398" s="77"/>
      <c r="E398" s="77"/>
      <c r="F398" s="77"/>
      <c r="G398" s="77"/>
      <c r="H398" s="85"/>
      <c r="I398" s="85"/>
      <c r="J398" s="85"/>
      <c r="K398" s="85"/>
      <c r="L398" s="85"/>
      <c r="M398" s="85"/>
      <c r="N398" s="85"/>
    </row>
    <row r="399" spans="1:14" x14ac:dyDescent="0.2">
      <c r="A399" s="79"/>
      <c r="B399" s="79"/>
      <c r="C399" s="79"/>
      <c r="D399" s="77"/>
      <c r="E399" s="77"/>
      <c r="F399" s="77"/>
      <c r="G399" s="77"/>
      <c r="H399" s="85"/>
      <c r="I399" s="85"/>
      <c r="J399" s="85"/>
      <c r="K399" s="85"/>
      <c r="L399" s="85"/>
      <c r="M399" s="85"/>
      <c r="N399" s="85"/>
    </row>
    <row r="400" spans="1:14" x14ac:dyDescent="0.2">
      <c r="A400" s="79"/>
      <c r="B400" s="104"/>
      <c r="C400" s="104"/>
      <c r="D400" s="77"/>
      <c r="E400" s="77"/>
      <c r="F400" s="77"/>
      <c r="G400" s="77"/>
      <c r="H400" s="85"/>
      <c r="I400" s="85"/>
      <c r="J400" s="85"/>
      <c r="K400" s="85"/>
      <c r="L400" s="85"/>
      <c r="M400" s="85"/>
      <c r="N400" s="85"/>
    </row>
    <row r="401" spans="1:14" x14ac:dyDescent="0.2">
      <c r="A401" s="106"/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</row>
    <row r="402" spans="1:14" x14ac:dyDescent="0.2">
      <c r="A402" s="106"/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</row>
    <row r="403" spans="1:14" ht="15.75" customHeight="1" x14ac:dyDescent="0.2">
      <c r="A403" s="77"/>
      <c r="B403" s="77"/>
      <c r="C403" s="77"/>
      <c r="D403" s="79"/>
      <c r="E403" s="79"/>
      <c r="F403" s="79"/>
      <c r="G403" s="79"/>
      <c r="H403" s="85"/>
      <c r="I403" s="85"/>
      <c r="J403" s="85"/>
      <c r="K403" s="85"/>
      <c r="L403" s="85"/>
      <c r="M403" s="85"/>
      <c r="N403" s="85"/>
    </row>
    <row r="404" spans="1:14" x14ac:dyDescent="0.2">
      <c r="A404" s="77"/>
      <c r="B404" s="77"/>
      <c r="C404" s="77"/>
      <c r="D404" s="79"/>
      <c r="E404" s="79"/>
      <c r="F404" s="79"/>
      <c r="G404" s="79"/>
      <c r="H404" s="85"/>
      <c r="I404" s="85"/>
      <c r="J404" s="85"/>
      <c r="K404" s="85"/>
      <c r="L404" s="85"/>
      <c r="M404" s="85"/>
      <c r="N404" s="85"/>
    </row>
    <row r="405" spans="1:14" x14ac:dyDescent="0.2">
      <c r="A405" s="75"/>
      <c r="B405" s="75"/>
      <c r="C405" s="75"/>
      <c r="D405" s="77"/>
      <c r="E405" s="77"/>
      <c r="F405" s="77"/>
      <c r="G405" s="77"/>
      <c r="H405" s="85"/>
      <c r="I405" s="85"/>
      <c r="J405" s="85"/>
      <c r="K405" s="85"/>
      <c r="L405" s="85"/>
      <c r="M405" s="85"/>
      <c r="N405" s="85"/>
    </row>
    <row r="406" spans="1:14" x14ac:dyDescent="0.2">
      <c r="A406" s="75"/>
      <c r="B406" s="75"/>
      <c r="C406" s="75"/>
      <c r="D406" s="75"/>
      <c r="E406" s="75"/>
      <c r="F406" s="75"/>
      <c r="G406" s="75"/>
      <c r="H406" s="85"/>
      <c r="I406" s="85"/>
      <c r="J406" s="85"/>
      <c r="K406" s="85"/>
      <c r="L406" s="85"/>
      <c r="M406" s="85"/>
      <c r="N406" s="85"/>
    </row>
    <row r="407" spans="1:14" x14ac:dyDescent="0.2">
      <c r="A407" s="103"/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</row>
    <row r="408" spans="1:14" x14ac:dyDescent="0.2">
      <c r="A408" s="79"/>
      <c r="B408" s="79"/>
      <c r="C408" s="79"/>
      <c r="D408" s="77"/>
      <c r="E408" s="77"/>
      <c r="F408" s="77"/>
      <c r="G408" s="77"/>
      <c r="H408" s="85"/>
      <c r="I408" s="85"/>
      <c r="J408" s="85"/>
      <c r="K408" s="85"/>
      <c r="L408" s="85"/>
      <c r="M408" s="85"/>
      <c r="N408" s="85"/>
    </row>
    <row r="409" spans="1:14" x14ac:dyDescent="0.2">
      <c r="A409" s="79"/>
      <c r="B409" s="79"/>
      <c r="C409" s="79"/>
      <c r="D409" s="77"/>
      <c r="E409" s="77"/>
      <c r="F409" s="77"/>
      <c r="G409" s="77"/>
      <c r="H409" s="85"/>
      <c r="I409" s="85"/>
      <c r="J409" s="85"/>
      <c r="K409" s="85"/>
      <c r="L409" s="85"/>
      <c r="M409" s="85"/>
      <c r="N409" s="85"/>
    </row>
    <row r="410" spans="1:14" x14ac:dyDescent="0.2">
      <c r="A410" s="79"/>
      <c r="B410" s="104"/>
      <c r="C410" s="104"/>
      <c r="D410" s="77"/>
      <c r="E410" s="77"/>
      <c r="F410" s="77"/>
      <c r="G410" s="77"/>
      <c r="H410" s="85"/>
      <c r="I410" s="85"/>
      <c r="J410" s="85"/>
      <c r="K410" s="85"/>
      <c r="L410" s="85"/>
      <c r="M410" s="85"/>
      <c r="N410" s="85"/>
    </row>
    <row r="411" spans="1:14" x14ac:dyDescent="0.2">
      <c r="A411" s="103"/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</row>
    <row r="412" spans="1:14" x14ac:dyDescent="0.2">
      <c r="A412" s="79"/>
      <c r="B412" s="79"/>
      <c r="C412" s="79"/>
      <c r="D412" s="77"/>
      <c r="E412" s="77"/>
      <c r="F412" s="77"/>
      <c r="G412" s="77"/>
      <c r="H412" s="85"/>
      <c r="I412" s="85"/>
      <c r="J412" s="85"/>
      <c r="K412" s="85"/>
      <c r="L412" s="85"/>
      <c r="M412" s="85"/>
      <c r="N412" s="85"/>
    </row>
    <row r="413" spans="1:14" x14ac:dyDescent="0.2">
      <c r="A413" s="79"/>
      <c r="B413" s="79"/>
      <c r="C413" s="79"/>
      <c r="D413" s="77"/>
      <c r="E413" s="77"/>
      <c r="F413" s="77"/>
      <c r="G413" s="77"/>
      <c r="H413" s="85"/>
      <c r="I413" s="85"/>
      <c r="J413" s="85"/>
      <c r="K413" s="85"/>
      <c r="L413" s="85"/>
      <c r="M413" s="85"/>
      <c r="N413" s="85"/>
    </row>
    <row r="414" spans="1:14" x14ac:dyDescent="0.2">
      <c r="A414" s="79"/>
      <c r="B414" s="104"/>
      <c r="C414" s="104"/>
      <c r="D414" s="77"/>
      <c r="E414" s="77"/>
      <c r="F414" s="77"/>
      <c r="G414" s="77"/>
      <c r="H414" s="85"/>
      <c r="I414" s="85"/>
      <c r="J414" s="85"/>
      <c r="K414" s="85"/>
      <c r="L414" s="85"/>
      <c r="M414" s="85"/>
      <c r="N414" s="85"/>
    </row>
    <row r="415" spans="1:14" x14ac:dyDescent="0.2">
      <c r="A415" s="105"/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</row>
    <row r="416" spans="1:14" x14ac:dyDescent="0.2">
      <c r="A416" s="79"/>
      <c r="B416" s="79"/>
      <c r="C416" s="79"/>
      <c r="D416" s="77"/>
      <c r="E416" s="77"/>
      <c r="F416" s="77"/>
      <c r="G416" s="77"/>
      <c r="H416" s="85"/>
      <c r="I416" s="85"/>
      <c r="J416" s="85"/>
      <c r="K416" s="85"/>
      <c r="L416" s="85"/>
      <c r="M416" s="85"/>
      <c r="N416" s="85"/>
    </row>
    <row r="417" spans="1:14" x14ac:dyDescent="0.2">
      <c r="A417" s="79"/>
      <c r="B417" s="79"/>
      <c r="C417" s="79"/>
      <c r="D417" s="77"/>
      <c r="E417" s="77"/>
      <c r="F417" s="77"/>
      <c r="G417" s="77"/>
      <c r="H417" s="85"/>
      <c r="I417" s="85"/>
      <c r="J417" s="85"/>
      <c r="K417" s="85"/>
      <c r="L417" s="85"/>
      <c r="M417" s="85"/>
      <c r="N417" s="85"/>
    </row>
    <row r="418" spans="1:14" x14ac:dyDescent="0.2">
      <c r="A418" s="79"/>
      <c r="B418" s="104"/>
      <c r="C418" s="104"/>
      <c r="D418" s="77"/>
      <c r="E418" s="77"/>
      <c r="F418" s="77"/>
      <c r="G418" s="77"/>
      <c r="H418" s="85"/>
      <c r="I418" s="85"/>
      <c r="J418" s="85"/>
      <c r="K418" s="85"/>
      <c r="L418" s="85"/>
      <c r="M418" s="85"/>
      <c r="N418" s="85"/>
    </row>
    <row r="419" spans="1:14" x14ac:dyDescent="0.2">
      <c r="A419" s="89"/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</row>
    <row r="420" spans="1:14" x14ac:dyDescent="0.2">
      <c r="A420" s="91"/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</row>
    <row r="421" spans="1:14" x14ac:dyDescent="0.2">
      <c r="A421" s="91"/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</row>
    <row r="422" spans="1:14" ht="18.75" customHeight="1" x14ac:dyDescent="0.2">
      <c r="A422" s="75"/>
      <c r="B422" s="75"/>
      <c r="C422" s="75"/>
      <c r="D422" s="6"/>
      <c r="E422" s="75"/>
      <c r="F422" s="75"/>
      <c r="G422" s="75"/>
      <c r="H422" s="75"/>
      <c r="I422" s="75"/>
      <c r="J422" s="75"/>
      <c r="K422" s="75"/>
      <c r="L422" s="75"/>
      <c r="M422" s="85"/>
      <c r="N422" s="85"/>
    </row>
    <row r="423" spans="1:14" ht="15" customHeight="1" x14ac:dyDescent="0.2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85"/>
      <c r="N423" s="85"/>
    </row>
    <row r="424" spans="1:14" ht="15" customHeight="1" x14ac:dyDescent="0.2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85"/>
      <c r="N424" s="85"/>
    </row>
    <row r="425" spans="1:14" x14ac:dyDescent="0.2">
      <c r="A425" s="6"/>
      <c r="B425" s="75"/>
      <c r="C425" s="75"/>
      <c r="D425" s="6"/>
      <c r="E425" s="6"/>
      <c r="F425" s="6"/>
      <c r="G425" s="6"/>
      <c r="H425" s="6"/>
      <c r="I425" s="6"/>
      <c r="J425" s="6"/>
      <c r="K425" s="6"/>
      <c r="L425" s="6"/>
      <c r="M425" s="85"/>
      <c r="N425" s="85"/>
    </row>
    <row r="426" spans="1:14" x14ac:dyDescent="0.2">
      <c r="A426" s="6"/>
      <c r="B426" s="75"/>
      <c r="C426" s="75"/>
      <c r="D426" s="6"/>
      <c r="E426" s="6"/>
      <c r="F426" s="6"/>
      <c r="G426" s="6"/>
      <c r="H426" s="6"/>
      <c r="I426" s="6"/>
      <c r="J426" s="6"/>
      <c r="K426" s="6"/>
      <c r="L426" s="6"/>
      <c r="M426" s="85"/>
      <c r="N426" s="85"/>
    </row>
    <row r="427" spans="1:14" x14ac:dyDescent="0.2">
      <c r="A427" s="91"/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</row>
    <row r="428" spans="1:14" ht="18.75" customHeight="1" x14ac:dyDescent="0.2">
      <c r="A428" s="75"/>
      <c r="B428" s="75"/>
      <c r="C428" s="75"/>
      <c r="D428" s="6"/>
      <c r="E428" s="6"/>
      <c r="F428" s="6"/>
      <c r="G428" s="75"/>
      <c r="H428" s="75"/>
      <c r="I428" s="75"/>
      <c r="J428" s="75"/>
      <c r="K428" s="75"/>
      <c r="L428" s="75"/>
      <c r="M428" s="75"/>
      <c r="N428" s="75"/>
    </row>
    <row r="429" spans="1:14" x14ac:dyDescent="0.2">
      <c r="A429" s="75"/>
      <c r="B429" s="75"/>
      <c r="C429" s="75"/>
      <c r="D429" s="75"/>
      <c r="E429" s="75"/>
      <c r="F429" s="75"/>
      <c r="G429" s="75"/>
      <c r="H429" s="75"/>
      <c r="I429" s="75"/>
      <c r="J429" s="6"/>
      <c r="K429" s="75"/>
      <c r="L429" s="75"/>
      <c r="M429" s="75"/>
      <c r="N429" s="75"/>
    </row>
    <row r="430" spans="1:14" x14ac:dyDescent="0.2">
      <c r="A430" s="75"/>
      <c r="B430" s="75"/>
      <c r="C430" s="75"/>
      <c r="D430" s="75"/>
      <c r="E430" s="75"/>
      <c r="F430" s="75"/>
      <c r="G430" s="75"/>
      <c r="H430" s="75"/>
      <c r="I430" s="75"/>
      <c r="J430" s="111"/>
      <c r="K430" s="75"/>
      <c r="L430" s="75"/>
      <c r="M430" s="75"/>
      <c r="N430" s="75"/>
    </row>
    <row r="431" spans="1:14" x14ac:dyDescent="0.2">
      <c r="A431" s="6"/>
      <c r="B431" s="75"/>
      <c r="C431" s="75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1:14" x14ac:dyDescent="0.2">
      <c r="A432" s="6"/>
      <c r="B432" s="75"/>
      <c r="C432" s="75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1:14" x14ac:dyDescent="0.2">
      <c r="A433" s="91"/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</row>
    <row r="434" spans="1:14" x14ac:dyDescent="0.2">
      <c r="A434" s="75"/>
      <c r="B434" s="75"/>
      <c r="C434" s="75"/>
      <c r="D434" s="75"/>
      <c r="E434" s="75"/>
      <c r="F434" s="75"/>
      <c r="G434" s="75"/>
      <c r="H434" s="6"/>
      <c r="I434" s="85"/>
      <c r="J434" s="85"/>
      <c r="K434" s="85"/>
      <c r="L434" s="85"/>
      <c r="M434" s="85"/>
      <c r="N434" s="85"/>
    </row>
    <row r="435" spans="1:14" x14ac:dyDescent="0.2">
      <c r="A435" s="75"/>
      <c r="B435" s="75"/>
      <c r="C435" s="75"/>
      <c r="D435" s="75"/>
      <c r="E435" s="75"/>
      <c r="F435" s="75"/>
      <c r="G435" s="75"/>
      <c r="H435" s="6"/>
      <c r="I435" s="85"/>
      <c r="J435" s="85"/>
      <c r="K435" s="85"/>
      <c r="L435" s="85"/>
      <c r="M435" s="85"/>
      <c r="N435" s="85"/>
    </row>
    <row r="436" spans="1:14" x14ac:dyDescent="0.2">
      <c r="A436" s="75"/>
      <c r="B436" s="75"/>
      <c r="C436" s="75"/>
      <c r="D436" s="6"/>
      <c r="E436" s="6"/>
      <c r="F436" s="6"/>
      <c r="G436" s="6"/>
      <c r="H436" s="75"/>
      <c r="I436" s="85"/>
      <c r="J436" s="85"/>
      <c r="K436" s="85"/>
      <c r="L436" s="85"/>
      <c r="M436" s="85"/>
      <c r="N436" s="85"/>
    </row>
    <row r="437" spans="1:14" x14ac:dyDescent="0.2">
      <c r="A437" s="6"/>
      <c r="B437" s="75"/>
      <c r="C437" s="75"/>
      <c r="D437" s="6"/>
      <c r="E437" s="6"/>
      <c r="F437" s="6"/>
      <c r="G437" s="6"/>
      <c r="H437" s="6"/>
      <c r="I437" s="85"/>
      <c r="J437" s="85"/>
      <c r="K437" s="85"/>
      <c r="L437" s="85"/>
      <c r="M437" s="85"/>
      <c r="N437" s="85"/>
    </row>
    <row r="438" spans="1:14" x14ac:dyDescent="0.2">
      <c r="A438" s="6"/>
      <c r="B438" s="75"/>
      <c r="C438" s="75"/>
      <c r="D438" s="6"/>
      <c r="E438" s="6"/>
      <c r="F438" s="6"/>
      <c r="G438" s="6"/>
      <c r="H438" s="6"/>
      <c r="I438" s="85"/>
      <c r="J438" s="85"/>
      <c r="K438" s="85"/>
      <c r="L438" s="85"/>
      <c r="M438" s="85"/>
      <c r="N438" s="85"/>
    </row>
    <row r="439" spans="1:14" x14ac:dyDescent="0.2">
      <c r="A439" s="91"/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</row>
    <row r="440" spans="1:14" ht="15.75" customHeight="1" x14ac:dyDescent="0.2">
      <c r="A440" s="75"/>
      <c r="B440" s="6"/>
      <c r="C440" s="6"/>
      <c r="D440" s="75"/>
      <c r="E440" s="75"/>
      <c r="F440" s="75"/>
      <c r="G440" s="75"/>
      <c r="H440" s="85"/>
      <c r="I440" s="85"/>
      <c r="J440" s="85"/>
      <c r="K440" s="85"/>
      <c r="L440" s="85"/>
      <c r="M440" s="85"/>
      <c r="N440" s="85"/>
    </row>
    <row r="441" spans="1:14" x14ac:dyDescent="0.2">
      <c r="A441" s="75"/>
      <c r="B441" s="6"/>
      <c r="C441" s="6"/>
      <c r="D441" s="75"/>
      <c r="E441" s="75"/>
      <c r="F441" s="75"/>
      <c r="G441" s="87"/>
      <c r="H441" s="85"/>
      <c r="I441" s="85"/>
      <c r="J441" s="85"/>
      <c r="K441" s="85"/>
      <c r="L441" s="85"/>
      <c r="M441" s="85"/>
      <c r="N441" s="85"/>
    </row>
    <row r="442" spans="1:14" x14ac:dyDescent="0.2">
      <c r="A442" s="75"/>
      <c r="B442" s="75"/>
      <c r="C442" s="75"/>
      <c r="D442" s="6"/>
      <c r="E442" s="6"/>
      <c r="F442" s="6"/>
      <c r="G442" s="6"/>
      <c r="H442" s="85"/>
      <c r="I442" s="85"/>
      <c r="J442" s="85"/>
      <c r="K442" s="85"/>
      <c r="L442" s="85"/>
      <c r="M442" s="85"/>
      <c r="N442" s="85"/>
    </row>
    <row r="443" spans="1:14" x14ac:dyDescent="0.2">
      <c r="A443" s="6"/>
      <c r="B443" s="75"/>
      <c r="C443" s="75"/>
      <c r="D443" s="6"/>
      <c r="E443" s="6"/>
      <c r="F443" s="6"/>
      <c r="G443" s="6"/>
      <c r="H443" s="85"/>
      <c r="I443" s="85"/>
      <c r="J443" s="85"/>
      <c r="K443" s="85"/>
      <c r="L443" s="85"/>
      <c r="M443" s="85"/>
      <c r="N443" s="85"/>
    </row>
    <row r="444" spans="1:14" x14ac:dyDescent="0.2">
      <c r="A444" s="6"/>
      <c r="B444" s="75"/>
      <c r="C444" s="75"/>
      <c r="D444" s="6"/>
      <c r="E444" s="6"/>
      <c r="F444" s="6"/>
      <c r="G444" s="6"/>
      <c r="H444" s="85"/>
      <c r="I444" s="85"/>
      <c r="J444" s="85"/>
      <c r="K444" s="85"/>
      <c r="L444" s="85"/>
      <c r="M444" s="85"/>
      <c r="N444" s="85"/>
    </row>
    <row r="445" spans="1:14" x14ac:dyDescent="0.2">
      <c r="A445" s="91"/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</row>
    <row r="446" spans="1:14" x14ac:dyDescent="0.2">
      <c r="A446" s="75"/>
      <c r="B446" s="6"/>
      <c r="C446" s="6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85"/>
    </row>
    <row r="447" spans="1:14" x14ac:dyDescent="0.2">
      <c r="A447" s="75"/>
      <c r="B447" s="6"/>
      <c r="C447" s="6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85"/>
    </row>
    <row r="448" spans="1:14" ht="15.75" customHeight="1" x14ac:dyDescent="0.2">
      <c r="A448" s="75"/>
      <c r="B448" s="6"/>
      <c r="C448" s="6"/>
      <c r="D448" s="112"/>
      <c r="E448" s="112"/>
      <c r="F448" s="112"/>
      <c r="G448" s="87"/>
      <c r="H448" s="87"/>
      <c r="I448" s="87"/>
      <c r="J448" s="87"/>
      <c r="K448" s="75"/>
      <c r="L448" s="75"/>
      <c r="M448" s="75"/>
      <c r="N448" s="85"/>
    </row>
    <row r="449" spans="1:14" ht="16.5" customHeight="1" x14ac:dyDescent="0.2">
      <c r="A449" s="75"/>
      <c r="B449" s="6"/>
      <c r="C449" s="6"/>
      <c r="D449" s="6"/>
      <c r="E449" s="112"/>
      <c r="F449" s="112"/>
      <c r="G449" s="75"/>
      <c r="H449" s="87"/>
      <c r="I449" s="87"/>
      <c r="J449" s="87"/>
      <c r="K449" s="75"/>
      <c r="L449" s="75"/>
      <c r="M449" s="75"/>
      <c r="N449" s="85"/>
    </row>
    <row r="450" spans="1:14" x14ac:dyDescent="0.2">
      <c r="A450" s="75"/>
      <c r="B450" s="75"/>
      <c r="C450" s="75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85"/>
    </row>
    <row r="451" spans="1:14" x14ac:dyDescent="0.2">
      <c r="A451" s="6"/>
      <c r="B451" s="75"/>
      <c r="C451" s="75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85"/>
    </row>
    <row r="452" spans="1:14" x14ac:dyDescent="0.2">
      <c r="A452" s="6"/>
      <c r="B452" s="75"/>
      <c r="C452" s="75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85"/>
    </row>
    <row r="453" spans="1:14" x14ac:dyDescent="0.2">
      <c r="A453" s="92"/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</row>
    <row r="454" spans="1:14" x14ac:dyDescent="0.2">
      <c r="A454" s="92"/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</row>
    <row r="455" spans="1:14" ht="18.75" customHeight="1" x14ac:dyDescent="0.2">
      <c r="A455" s="75"/>
      <c r="B455" s="75"/>
      <c r="C455" s="75"/>
      <c r="D455" s="6"/>
      <c r="E455" s="75"/>
      <c r="F455" s="75"/>
      <c r="G455" s="75"/>
      <c r="H455" s="75"/>
      <c r="I455" s="75"/>
      <c r="J455" s="75"/>
      <c r="K455" s="75"/>
      <c r="L455" s="75"/>
      <c r="M455" s="85"/>
      <c r="N455" s="85"/>
    </row>
    <row r="456" spans="1:14" ht="15" customHeight="1" x14ac:dyDescent="0.2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85"/>
      <c r="N456" s="85"/>
    </row>
    <row r="457" spans="1:14" ht="15" customHeight="1" x14ac:dyDescent="0.2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85"/>
      <c r="N457" s="85"/>
    </row>
    <row r="458" spans="1:14" x14ac:dyDescent="0.2">
      <c r="A458" s="96"/>
      <c r="B458" s="96"/>
      <c r="C458" s="96"/>
      <c r="D458" s="96"/>
      <c r="E458" s="96"/>
      <c r="F458" s="96"/>
      <c r="G458" s="96"/>
      <c r="H458" s="96"/>
      <c r="I458" s="96"/>
      <c r="J458" s="96"/>
      <c r="K458" s="96"/>
      <c r="L458" s="96"/>
      <c r="M458" s="85"/>
      <c r="N458" s="85"/>
    </row>
    <row r="459" spans="1:14" x14ac:dyDescent="0.2">
      <c r="A459" s="6"/>
      <c r="B459" s="75"/>
      <c r="C459" s="75"/>
      <c r="D459" s="6"/>
      <c r="E459" s="6"/>
      <c r="F459" s="6"/>
      <c r="G459" s="6"/>
      <c r="H459" s="6"/>
      <c r="I459" s="6"/>
      <c r="J459" s="6"/>
      <c r="K459" s="6"/>
      <c r="L459" s="6"/>
      <c r="M459" s="85"/>
      <c r="N459" s="85"/>
    </row>
    <row r="460" spans="1:14" x14ac:dyDescent="0.2">
      <c r="A460" s="6"/>
      <c r="B460" s="75"/>
      <c r="C460" s="75"/>
      <c r="D460" s="6"/>
      <c r="E460" s="6"/>
      <c r="F460" s="6"/>
      <c r="G460" s="6"/>
      <c r="H460" s="6"/>
      <c r="I460" s="6"/>
      <c r="J460" s="6"/>
      <c r="K460" s="6"/>
      <c r="L460" s="6"/>
      <c r="M460" s="85"/>
      <c r="N460" s="85"/>
    </row>
    <row r="461" spans="1:14" ht="15.75" customHeight="1" x14ac:dyDescent="0.2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85"/>
      <c r="N461" s="85"/>
    </row>
    <row r="462" spans="1:14" x14ac:dyDescent="0.2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85"/>
      <c r="N462" s="85"/>
    </row>
    <row r="463" spans="1:14" x14ac:dyDescent="0.2">
      <c r="A463" s="96"/>
      <c r="B463" s="96"/>
      <c r="C463" s="96"/>
      <c r="D463" s="96"/>
      <c r="E463" s="96"/>
      <c r="F463" s="96"/>
      <c r="G463" s="96"/>
      <c r="H463" s="96"/>
      <c r="I463" s="96"/>
      <c r="J463" s="96"/>
      <c r="K463" s="96"/>
      <c r="L463" s="96"/>
      <c r="M463" s="85"/>
      <c r="N463" s="85"/>
    </row>
    <row r="464" spans="1:14" x14ac:dyDescent="0.2">
      <c r="A464" s="6"/>
      <c r="B464" s="75"/>
      <c r="C464" s="75"/>
      <c r="D464" s="6"/>
      <c r="E464" s="6"/>
      <c r="F464" s="6"/>
      <c r="G464" s="6"/>
      <c r="H464" s="6"/>
      <c r="I464" s="6"/>
      <c r="J464" s="6"/>
      <c r="K464" s="6"/>
      <c r="L464" s="6"/>
      <c r="M464" s="85"/>
      <c r="N464" s="85"/>
    </row>
    <row r="465" spans="1:14" x14ac:dyDescent="0.2">
      <c r="A465" s="6"/>
      <c r="B465" s="75"/>
      <c r="C465" s="75"/>
      <c r="D465" s="6"/>
      <c r="E465" s="6"/>
      <c r="F465" s="6"/>
      <c r="G465" s="6"/>
      <c r="H465" s="6"/>
      <c r="I465" s="6"/>
      <c r="J465" s="6"/>
      <c r="K465" s="6"/>
      <c r="L465" s="6"/>
      <c r="M465" s="85"/>
      <c r="N465" s="85"/>
    </row>
    <row r="466" spans="1:14" ht="15.75" customHeight="1" x14ac:dyDescent="0.2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85"/>
      <c r="N466" s="85"/>
    </row>
    <row r="467" spans="1:14" x14ac:dyDescent="0.2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85"/>
      <c r="N467" s="85"/>
    </row>
    <row r="468" spans="1:14" x14ac:dyDescent="0.2">
      <c r="A468" s="96"/>
      <c r="B468" s="96"/>
      <c r="C468" s="96"/>
      <c r="D468" s="96"/>
      <c r="E468" s="96"/>
      <c r="F468" s="96"/>
      <c r="G468" s="96"/>
      <c r="H468" s="96"/>
      <c r="I468" s="96"/>
      <c r="J468" s="96"/>
      <c r="K468" s="96"/>
      <c r="L468" s="96"/>
      <c r="M468" s="85"/>
      <c r="N468" s="85"/>
    </row>
    <row r="469" spans="1:14" x14ac:dyDescent="0.2">
      <c r="A469" s="6"/>
      <c r="B469" s="75"/>
      <c r="C469" s="75"/>
      <c r="D469" s="6"/>
      <c r="E469" s="6"/>
      <c r="F469" s="6"/>
      <c r="G469" s="6"/>
      <c r="H469" s="6"/>
      <c r="I469" s="6"/>
      <c r="J469" s="6"/>
      <c r="K469" s="6"/>
      <c r="L469" s="6"/>
      <c r="M469" s="85"/>
      <c r="N469" s="85"/>
    </row>
    <row r="470" spans="1:14" x14ac:dyDescent="0.2">
      <c r="A470" s="6"/>
      <c r="B470" s="75"/>
      <c r="C470" s="75"/>
      <c r="D470" s="6"/>
      <c r="E470" s="6"/>
      <c r="F470" s="6"/>
      <c r="G470" s="6"/>
      <c r="H470" s="6"/>
      <c r="I470" s="6"/>
      <c r="J470" s="6"/>
      <c r="K470" s="6"/>
      <c r="L470" s="6"/>
      <c r="M470" s="85"/>
      <c r="N470" s="85"/>
    </row>
    <row r="471" spans="1:14" ht="15.75" customHeight="1" x14ac:dyDescent="0.2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85"/>
      <c r="N471" s="85"/>
    </row>
    <row r="472" spans="1:14" x14ac:dyDescent="0.2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85"/>
      <c r="N472" s="85"/>
    </row>
    <row r="473" spans="1:14" x14ac:dyDescent="0.2">
      <c r="A473" s="91"/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</row>
    <row r="474" spans="1:14" ht="18.75" customHeight="1" x14ac:dyDescent="0.2">
      <c r="A474" s="75"/>
      <c r="B474" s="75"/>
      <c r="C474" s="75"/>
      <c r="D474" s="6"/>
      <c r="E474" s="6"/>
      <c r="F474" s="6"/>
      <c r="G474" s="75"/>
      <c r="H474" s="75"/>
      <c r="I474" s="75"/>
      <c r="J474" s="75"/>
      <c r="K474" s="75"/>
      <c r="L474" s="75"/>
      <c r="M474" s="75"/>
      <c r="N474" s="75"/>
    </row>
    <row r="475" spans="1:14" x14ac:dyDescent="0.2">
      <c r="A475" s="75"/>
      <c r="B475" s="75"/>
      <c r="C475" s="75"/>
      <c r="D475" s="75"/>
      <c r="E475" s="75"/>
      <c r="F475" s="75"/>
      <c r="G475" s="75"/>
      <c r="H475" s="75"/>
      <c r="I475" s="75"/>
      <c r="J475" s="6"/>
      <c r="K475" s="75"/>
      <c r="L475" s="75"/>
      <c r="M475" s="75"/>
      <c r="N475" s="75"/>
    </row>
    <row r="476" spans="1:14" x14ac:dyDescent="0.2">
      <c r="A476" s="75"/>
      <c r="B476" s="75"/>
      <c r="C476" s="75"/>
      <c r="D476" s="75"/>
      <c r="E476" s="75"/>
      <c r="F476" s="75"/>
      <c r="G476" s="75"/>
      <c r="H476" s="75"/>
      <c r="I476" s="75"/>
      <c r="J476" s="111"/>
      <c r="K476" s="75"/>
      <c r="L476" s="75"/>
      <c r="M476" s="75"/>
      <c r="N476" s="75"/>
    </row>
    <row r="477" spans="1:14" x14ac:dyDescent="0.2">
      <c r="A477" s="96"/>
      <c r="B477" s="96"/>
      <c r="C477" s="96"/>
      <c r="D477" s="96"/>
      <c r="E477" s="96"/>
      <c r="F477" s="96"/>
      <c r="G477" s="96"/>
      <c r="H477" s="96"/>
      <c r="I477" s="96"/>
      <c r="J477" s="96"/>
      <c r="K477" s="96"/>
      <c r="L477" s="96"/>
      <c r="M477" s="96"/>
      <c r="N477" s="96"/>
    </row>
    <row r="478" spans="1:14" x14ac:dyDescent="0.2">
      <c r="A478" s="6"/>
      <c r="B478" s="75"/>
      <c r="C478" s="75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1:14" x14ac:dyDescent="0.2">
      <c r="A479" s="6"/>
      <c r="B479" s="75"/>
      <c r="C479" s="75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1:14" x14ac:dyDescent="0.2">
      <c r="A480" s="96"/>
      <c r="B480" s="96"/>
      <c r="C480" s="96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</row>
    <row r="481" spans="1:14" x14ac:dyDescent="0.2">
      <c r="A481" s="6"/>
      <c r="B481" s="75"/>
      <c r="C481" s="75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1:14" x14ac:dyDescent="0.2">
      <c r="A482" s="6"/>
      <c r="B482" s="75"/>
      <c r="C482" s="75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1:14" x14ac:dyDescent="0.2">
      <c r="A483" s="96"/>
      <c r="B483" s="96"/>
      <c r="C483" s="96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</row>
    <row r="484" spans="1:14" x14ac:dyDescent="0.2">
      <c r="A484" s="6"/>
      <c r="B484" s="75"/>
      <c r="C484" s="75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1:14" x14ac:dyDescent="0.2">
      <c r="A485" s="6"/>
      <c r="B485" s="75"/>
      <c r="C485" s="75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1:14" x14ac:dyDescent="0.2">
      <c r="A486" s="92"/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</row>
    <row r="487" spans="1:14" x14ac:dyDescent="0.2">
      <c r="A487" s="92"/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</row>
    <row r="488" spans="1:14" x14ac:dyDescent="0.2">
      <c r="A488" s="92"/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</row>
    <row r="489" spans="1:14" x14ac:dyDescent="0.2">
      <c r="A489" s="75"/>
      <c r="B489" s="75"/>
      <c r="C489" s="75"/>
      <c r="D489" s="75"/>
      <c r="E489" s="75"/>
      <c r="F489" s="75"/>
      <c r="G489" s="75"/>
      <c r="H489" s="6"/>
      <c r="I489" s="85"/>
      <c r="J489" s="85"/>
      <c r="K489" s="85"/>
      <c r="L489" s="85"/>
      <c r="M489" s="85"/>
      <c r="N489" s="85"/>
    </row>
    <row r="490" spans="1:14" x14ac:dyDescent="0.2">
      <c r="A490" s="75"/>
      <c r="B490" s="75"/>
      <c r="C490" s="75"/>
      <c r="D490" s="75"/>
      <c r="E490" s="75"/>
      <c r="F490" s="75"/>
      <c r="G490" s="75"/>
      <c r="H490" s="6"/>
      <c r="I490" s="85"/>
      <c r="J490" s="85"/>
      <c r="K490" s="85"/>
      <c r="L490" s="85"/>
      <c r="M490" s="85"/>
      <c r="N490" s="85"/>
    </row>
    <row r="491" spans="1:14" x14ac:dyDescent="0.2">
      <c r="A491" s="75"/>
      <c r="B491" s="75"/>
      <c r="C491" s="75"/>
      <c r="D491" s="6"/>
      <c r="E491" s="6"/>
      <c r="F491" s="6"/>
      <c r="G491" s="6"/>
      <c r="H491" s="75"/>
      <c r="I491" s="85"/>
      <c r="J491" s="85"/>
      <c r="K491" s="85"/>
      <c r="L491" s="85"/>
      <c r="M491" s="85"/>
      <c r="N491" s="85"/>
    </row>
    <row r="492" spans="1:14" x14ac:dyDescent="0.2">
      <c r="A492" s="96"/>
      <c r="B492" s="96"/>
      <c r="C492" s="96"/>
      <c r="D492" s="96"/>
      <c r="E492" s="96"/>
      <c r="F492" s="96"/>
      <c r="G492" s="96"/>
      <c r="H492" s="96"/>
      <c r="I492" s="85"/>
      <c r="J492" s="85"/>
      <c r="K492" s="85"/>
      <c r="L492" s="85"/>
      <c r="M492" s="85"/>
      <c r="N492" s="85"/>
    </row>
    <row r="493" spans="1:14" x14ac:dyDescent="0.2">
      <c r="A493" s="6"/>
      <c r="B493" s="75"/>
      <c r="C493" s="75"/>
      <c r="D493" s="6"/>
      <c r="E493" s="6"/>
      <c r="F493" s="6"/>
      <c r="G493" s="6"/>
      <c r="H493" s="6"/>
      <c r="I493" s="85"/>
      <c r="J493" s="85"/>
      <c r="K493" s="85"/>
      <c r="L493" s="85"/>
      <c r="M493" s="85"/>
      <c r="N493" s="85"/>
    </row>
    <row r="494" spans="1:14" x14ac:dyDescent="0.2">
      <c r="A494" s="6"/>
      <c r="B494" s="75"/>
      <c r="C494" s="75"/>
      <c r="D494" s="6"/>
      <c r="E494" s="6"/>
      <c r="F494" s="6"/>
      <c r="G494" s="6"/>
      <c r="H494" s="6"/>
      <c r="I494" s="85"/>
      <c r="J494" s="85"/>
      <c r="K494" s="85"/>
      <c r="L494" s="85"/>
      <c r="M494" s="85"/>
      <c r="N494" s="85"/>
    </row>
    <row r="495" spans="1:14" x14ac:dyDescent="0.2">
      <c r="A495" s="96"/>
      <c r="B495" s="96"/>
      <c r="C495" s="96"/>
      <c r="D495" s="96"/>
      <c r="E495" s="96"/>
      <c r="F495" s="96"/>
      <c r="G495" s="96"/>
      <c r="H495" s="96"/>
      <c r="I495" s="85"/>
      <c r="J495" s="85"/>
      <c r="K495" s="85"/>
      <c r="L495" s="85"/>
      <c r="M495" s="85"/>
      <c r="N495" s="85"/>
    </row>
    <row r="496" spans="1:14" x14ac:dyDescent="0.2">
      <c r="A496" s="6"/>
      <c r="B496" s="75"/>
      <c r="C496" s="75"/>
      <c r="D496" s="6"/>
      <c r="E496" s="6"/>
      <c r="F496" s="6"/>
      <c r="G496" s="6"/>
      <c r="H496" s="6"/>
      <c r="I496" s="85"/>
      <c r="J496" s="85"/>
      <c r="K496" s="85"/>
      <c r="L496" s="85"/>
      <c r="M496" s="85"/>
      <c r="N496" s="85"/>
    </row>
    <row r="497" spans="1:14" x14ac:dyDescent="0.2">
      <c r="A497" s="6"/>
      <c r="B497" s="75"/>
      <c r="C497" s="75"/>
      <c r="D497" s="6"/>
      <c r="E497" s="6"/>
      <c r="F497" s="6"/>
      <c r="G497" s="6"/>
      <c r="H497" s="6"/>
      <c r="I497" s="85"/>
      <c r="J497" s="85"/>
      <c r="K497" s="85"/>
      <c r="L497" s="85"/>
      <c r="M497" s="85"/>
      <c r="N497" s="85"/>
    </row>
    <row r="498" spans="1:14" x14ac:dyDescent="0.2">
      <c r="A498" s="96"/>
      <c r="B498" s="96"/>
      <c r="C498" s="96"/>
      <c r="D498" s="96"/>
      <c r="E498" s="96"/>
      <c r="F498" s="96"/>
      <c r="G498" s="96"/>
      <c r="H498" s="96"/>
      <c r="I498" s="85"/>
      <c r="J498" s="85"/>
      <c r="K498" s="85"/>
      <c r="L498" s="85"/>
      <c r="M498" s="85"/>
      <c r="N498" s="85"/>
    </row>
    <row r="499" spans="1:14" x14ac:dyDescent="0.2">
      <c r="A499" s="6"/>
      <c r="B499" s="75"/>
      <c r="C499" s="75"/>
      <c r="D499" s="6"/>
      <c r="E499" s="6"/>
      <c r="F499" s="6"/>
      <c r="G499" s="6"/>
      <c r="H499" s="6"/>
      <c r="I499" s="85"/>
      <c r="J499" s="85"/>
      <c r="K499" s="85"/>
      <c r="L499" s="85"/>
      <c r="M499" s="85"/>
      <c r="N499" s="85"/>
    </row>
    <row r="500" spans="1:14" x14ac:dyDescent="0.2">
      <c r="A500" s="6"/>
      <c r="B500" s="75"/>
      <c r="C500" s="75"/>
      <c r="D500" s="6"/>
      <c r="E500" s="6"/>
      <c r="F500" s="6"/>
      <c r="G500" s="6"/>
      <c r="H500" s="6"/>
      <c r="I500" s="85"/>
      <c r="J500" s="85"/>
      <c r="K500" s="85"/>
      <c r="L500" s="85"/>
      <c r="M500" s="85"/>
      <c r="N500" s="85"/>
    </row>
    <row r="501" spans="1:14" x14ac:dyDescent="0.2">
      <c r="A501" s="91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</row>
    <row r="502" spans="1:14" ht="15.75" customHeight="1" x14ac:dyDescent="0.2">
      <c r="A502" s="75"/>
      <c r="B502" s="6"/>
      <c r="C502" s="6"/>
      <c r="D502" s="75"/>
      <c r="E502" s="75"/>
      <c r="F502" s="75"/>
      <c r="G502" s="75"/>
      <c r="H502" s="85"/>
      <c r="I502" s="85"/>
      <c r="J502" s="85"/>
      <c r="K502" s="85"/>
      <c r="L502" s="85"/>
      <c r="M502" s="85"/>
      <c r="N502" s="85"/>
    </row>
    <row r="503" spans="1:14" x14ac:dyDescent="0.2">
      <c r="A503" s="75"/>
      <c r="B503" s="6"/>
      <c r="C503" s="6"/>
      <c r="D503" s="75"/>
      <c r="E503" s="75"/>
      <c r="F503" s="75"/>
      <c r="G503" s="87"/>
      <c r="H503" s="85"/>
      <c r="I503" s="85"/>
      <c r="J503" s="85"/>
      <c r="K503" s="85"/>
      <c r="L503" s="85"/>
      <c r="M503" s="85"/>
      <c r="N503" s="85"/>
    </row>
    <row r="504" spans="1:14" x14ac:dyDescent="0.2">
      <c r="A504" s="75"/>
      <c r="B504" s="75"/>
      <c r="C504" s="75"/>
      <c r="D504" s="6"/>
      <c r="E504" s="6"/>
      <c r="F504" s="6"/>
      <c r="G504" s="6"/>
      <c r="H504" s="85"/>
      <c r="I504" s="85"/>
      <c r="J504" s="85"/>
      <c r="K504" s="85"/>
      <c r="L504" s="85"/>
      <c r="M504" s="85"/>
      <c r="N504" s="85"/>
    </row>
    <row r="505" spans="1:14" x14ac:dyDescent="0.2">
      <c r="A505" s="96"/>
      <c r="B505" s="96"/>
      <c r="C505" s="96"/>
      <c r="D505" s="96"/>
      <c r="E505" s="96"/>
      <c r="F505" s="96"/>
      <c r="G505" s="96"/>
      <c r="H505" s="85"/>
      <c r="I505" s="85"/>
      <c r="J505" s="85"/>
      <c r="K505" s="85"/>
      <c r="L505" s="85"/>
      <c r="M505" s="85"/>
      <c r="N505" s="85"/>
    </row>
    <row r="506" spans="1:14" x14ac:dyDescent="0.2">
      <c r="A506" s="80"/>
      <c r="B506" s="75"/>
      <c r="C506" s="75"/>
      <c r="D506" s="6"/>
      <c r="E506" s="6"/>
      <c r="F506" s="6"/>
      <c r="G506" s="6"/>
      <c r="H506" s="85"/>
      <c r="I506" s="85"/>
      <c r="J506" s="85"/>
      <c r="K506" s="85"/>
      <c r="L506" s="85"/>
      <c r="M506" s="85"/>
      <c r="N506" s="85"/>
    </row>
    <row r="507" spans="1:14" x14ac:dyDescent="0.2">
      <c r="A507" s="6"/>
      <c r="B507" s="75"/>
      <c r="C507" s="75"/>
      <c r="D507" s="6"/>
      <c r="E507" s="6"/>
      <c r="F507" s="6"/>
      <c r="G507" s="6"/>
      <c r="H507" s="85"/>
      <c r="I507" s="85"/>
      <c r="J507" s="85"/>
      <c r="K507" s="85"/>
      <c r="L507" s="85"/>
      <c r="M507" s="85"/>
      <c r="N507" s="85"/>
    </row>
    <row r="508" spans="1:14" x14ac:dyDescent="0.2">
      <c r="A508" s="6"/>
      <c r="B508" s="75"/>
      <c r="C508" s="75"/>
      <c r="D508" s="6"/>
      <c r="E508" s="6"/>
      <c r="F508" s="6"/>
      <c r="G508" s="6"/>
      <c r="H508" s="85"/>
      <c r="I508" s="85"/>
      <c r="J508" s="85"/>
      <c r="K508" s="85"/>
      <c r="L508" s="85"/>
      <c r="M508" s="85"/>
      <c r="N508" s="85"/>
    </row>
    <row r="509" spans="1:14" x14ac:dyDescent="0.2">
      <c r="A509" s="96"/>
      <c r="B509" s="96"/>
      <c r="C509" s="96"/>
      <c r="D509" s="96"/>
      <c r="E509" s="96"/>
      <c r="F509" s="96"/>
      <c r="G509" s="96"/>
      <c r="H509" s="85"/>
      <c r="I509" s="85"/>
      <c r="J509" s="85"/>
      <c r="K509" s="85"/>
      <c r="L509" s="85"/>
      <c r="M509" s="85"/>
      <c r="N509" s="85"/>
    </row>
    <row r="510" spans="1:14" x14ac:dyDescent="0.2">
      <c r="A510" s="6"/>
      <c r="B510" s="75"/>
      <c r="C510" s="75"/>
      <c r="D510" s="6"/>
      <c r="E510" s="6"/>
      <c r="F510" s="6"/>
      <c r="G510" s="6"/>
      <c r="H510" s="85"/>
      <c r="I510" s="85"/>
      <c r="J510" s="85"/>
      <c r="K510" s="85"/>
      <c r="L510" s="85"/>
      <c r="M510" s="85"/>
      <c r="N510" s="85"/>
    </row>
    <row r="511" spans="1:14" x14ac:dyDescent="0.2">
      <c r="A511" s="6"/>
      <c r="B511" s="75"/>
      <c r="C511" s="75"/>
      <c r="D511" s="6"/>
      <c r="E511" s="6"/>
      <c r="F511" s="6"/>
      <c r="G511" s="6"/>
      <c r="H511" s="85"/>
      <c r="I511" s="85"/>
      <c r="J511" s="85"/>
      <c r="K511" s="85"/>
      <c r="L511" s="85"/>
      <c r="M511" s="85"/>
      <c r="N511" s="85"/>
    </row>
    <row r="512" spans="1:14" x14ac:dyDescent="0.2">
      <c r="A512" s="6"/>
      <c r="B512" s="75"/>
      <c r="C512" s="75"/>
      <c r="D512" s="6"/>
      <c r="E512" s="6"/>
      <c r="F512" s="6"/>
      <c r="G512" s="6"/>
      <c r="H512" s="85"/>
      <c r="I512" s="85"/>
      <c r="J512" s="85"/>
      <c r="K512" s="85"/>
      <c r="L512" s="85"/>
      <c r="M512" s="85"/>
      <c r="N512" s="85"/>
    </row>
    <row r="513" spans="1:14" x14ac:dyDescent="0.2">
      <c r="A513" s="96"/>
      <c r="B513" s="96"/>
      <c r="C513" s="96"/>
      <c r="D513" s="96"/>
      <c r="E513" s="96"/>
      <c r="F513" s="96"/>
      <c r="G513" s="96"/>
      <c r="H513" s="85"/>
      <c r="I513" s="85"/>
      <c r="J513" s="85"/>
      <c r="K513" s="85"/>
      <c r="L513" s="85"/>
      <c r="M513" s="85"/>
      <c r="N513" s="85"/>
    </row>
    <row r="514" spans="1:14" x14ac:dyDescent="0.2">
      <c r="A514" s="80"/>
      <c r="B514" s="75"/>
      <c r="C514" s="75"/>
      <c r="D514" s="6"/>
      <c r="E514" s="6"/>
      <c r="F514" s="6"/>
      <c r="G514" s="6"/>
      <c r="H514" s="85"/>
      <c r="I514" s="85"/>
      <c r="J514" s="85"/>
      <c r="K514" s="85"/>
      <c r="L514" s="85"/>
      <c r="M514" s="85"/>
      <c r="N514" s="85"/>
    </row>
    <row r="515" spans="1:14" x14ac:dyDescent="0.2">
      <c r="A515" s="6"/>
      <c r="B515" s="75"/>
      <c r="C515" s="75"/>
      <c r="D515" s="6"/>
      <c r="E515" s="6"/>
      <c r="F515" s="6"/>
      <c r="G515" s="6"/>
      <c r="H515" s="85"/>
      <c r="I515" s="85"/>
      <c r="J515" s="85"/>
      <c r="K515" s="85"/>
      <c r="L515" s="85"/>
      <c r="M515" s="85"/>
      <c r="N515" s="85"/>
    </row>
    <row r="516" spans="1:14" x14ac:dyDescent="0.2">
      <c r="A516" s="6"/>
      <c r="B516" s="75"/>
      <c r="C516" s="75"/>
      <c r="D516" s="6"/>
      <c r="E516" s="6"/>
      <c r="F516" s="6"/>
      <c r="G516" s="6"/>
      <c r="H516" s="85"/>
      <c r="I516" s="85"/>
      <c r="J516" s="85"/>
      <c r="K516" s="85"/>
      <c r="L516" s="85"/>
      <c r="M516" s="85"/>
      <c r="N516" s="85"/>
    </row>
    <row r="517" spans="1:14" x14ac:dyDescent="0.2">
      <c r="A517" s="92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</row>
    <row r="518" spans="1:14" x14ac:dyDescent="0.2">
      <c r="A518" s="91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</row>
    <row r="519" spans="1:14" x14ac:dyDescent="0.2">
      <c r="A519" s="91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</row>
    <row r="520" spans="1:14" x14ac:dyDescent="0.2">
      <c r="A520" s="91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</row>
    <row r="521" spans="1:14" x14ac:dyDescent="0.2">
      <c r="A521" s="92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</row>
    <row r="522" spans="1:14" x14ac:dyDescent="0.2">
      <c r="A522" s="92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</row>
    <row r="523" spans="1:14" x14ac:dyDescent="0.2">
      <c r="A523" s="75"/>
      <c r="B523" s="6"/>
      <c r="C523" s="6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85"/>
    </row>
    <row r="524" spans="1:14" x14ac:dyDescent="0.2">
      <c r="A524" s="75"/>
      <c r="B524" s="6"/>
      <c r="C524" s="6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85"/>
    </row>
    <row r="525" spans="1:14" ht="15.75" customHeight="1" x14ac:dyDescent="0.2">
      <c r="A525" s="75"/>
      <c r="B525" s="6"/>
      <c r="C525" s="6"/>
      <c r="D525" s="112"/>
      <c r="E525" s="112"/>
      <c r="F525" s="112"/>
      <c r="G525" s="87"/>
      <c r="H525" s="87"/>
      <c r="I525" s="87"/>
      <c r="J525" s="87"/>
      <c r="K525" s="75"/>
      <c r="L525" s="75"/>
      <c r="M525" s="75"/>
      <c r="N525" s="85"/>
    </row>
    <row r="526" spans="1:14" ht="16.5" customHeight="1" x14ac:dyDescent="0.2">
      <c r="A526" s="75"/>
      <c r="B526" s="6"/>
      <c r="C526" s="6"/>
      <c r="D526" s="6"/>
      <c r="E526" s="112"/>
      <c r="F526" s="112"/>
      <c r="G526" s="75"/>
      <c r="H526" s="87"/>
      <c r="I526" s="87"/>
      <c r="J526" s="87"/>
      <c r="K526" s="75"/>
      <c r="L526" s="75"/>
      <c r="M526" s="75"/>
      <c r="N526" s="85"/>
    </row>
    <row r="527" spans="1:14" x14ac:dyDescent="0.2">
      <c r="A527" s="75"/>
      <c r="B527" s="75"/>
      <c r="C527" s="75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85"/>
    </row>
    <row r="528" spans="1:14" x14ac:dyDescent="0.2">
      <c r="A528" s="96"/>
      <c r="B528" s="96"/>
      <c r="C528" s="96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85"/>
    </row>
    <row r="529" spans="1:14" x14ac:dyDescent="0.2">
      <c r="A529" s="6"/>
      <c r="B529" s="75"/>
      <c r="C529" s="75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85"/>
    </row>
    <row r="530" spans="1:14" x14ac:dyDescent="0.2">
      <c r="A530" s="6"/>
      <c r="B530" s="75"/>
      <c r="C530" s="75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85"/>
    </row>
    <row r="531" spans="1:14" x14ac:dyDescent="0.2">
      <c r="A531" s="96"/>
      <c r="B531" s="96"/>
      <c r="C531" s="96"/>
      <c r="D531" s="96"/>
      <c r="E531" s="96"/>
      <c r="F531" s="96"/>
      <c r="G531" s="96"/>
      <c r="H531" s="96"/>
      <c r="I531" s="96"/>
      <c r="J531" s="96"/>
      <c r="K531" s="96"/>
      <c r="L531" s="96"/>
      <c r="M531" s="96"/>
      <c r="N531" s="85"/>
    </row>
    <row r="532" spans="1:14" x14ac:dyDescent="0.2">
      <c r="A532" s="6"/>
      <c r="B532" s="75"/>
      <c r="C532" s="75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85"/>
    </row>
    <row r="533" spans="1:14" x14ac:dyDescent="0.2">
      <c r="A533" s="6"/>
      <c r="B533" s="75"/>
      <c r="C533" s="75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85"/>
    </row>
    <row r="534" spans="1:14" x14ac:dyDescent="0.2">
      <c r="A534" s="96"/>
      <c r="B534" s="96"/>
      <c r="C534" s="96"/>
      <c r="D534" s="96"/>
      <c r="E534" s="96"/>
      <c r="F534" s="96"/>
      <c r="G534" s="96"/>
      <c r="H534" s="96"/>
      <c r="I534" s="96"/>
      <c r="J534" s="96"/>
      <c r="K534" s="96"/>
      <c r="L534" s="96"/>
      <c r="M534" s="96"/>
      <c r="N534" s="85"/>
    </row>
    <row r="535" spans="1:14" x14ac:dyDescent="0.2">
      <c r="A535" s="6"/>
      <c r="B535" s="75"/>
      <c r="C535" s="75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85"/>
    </row>
    <row r="536" spans="1:14" x14ac:dyDescent="0.2">
      <c r="A536" s="6"/>
      <c r="B536" s="75"/>
      <c r="C536" s="75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85"/>
    </row>
    <row r="537" spans="1:14" x14ac:dyDescent="0.2">
      <c r="A537" s="91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</row>
    <row r="538" spans="1:14" x14ac:dyDescent="0.2">
      <c r="A538" s="92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</row>
    <row r="539" spans="1:14" x14ac:dyDescent="0.2">
      <c r="A539" s="92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</row>
    <row r="540" spans="1:14" x14ac:dyDescent="0.2">
      <c r="A540" s="92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</row>
    <row r="541" spans="1:14" x14ac:dyDescent="0.2">
      <c r="A541" s="92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</row>
    <row r="542" spans="1:14" x14ac:dyDescent="0.2">
      <c r="A542" s="92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</row>
    <row r="543" spans="1:14" x14ac:dyDescent="0.2">
      <c r="A543" s="92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</row>
    <row r="544" spans="1:14" x14ac:dyDescent="0.2">
      <c r="A544" s="92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</row>
    <row r="545" spans="1:14" x14ac:dyDescent="0.2">
      <c r="A545" s="92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</row>
    <row r="546" spans="1:14" x14ac:dyDescent="0.2">
      <c r="A546" s="92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</row>
    <row r="547" spans="1:14" x14ac:dyDescent="0.2">
      <c r="A547" s="92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</row>
    <row r="548" spans="1:14" x14ac:dyDescent="0.2">
      <c r="A548" s="92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</row>
    <row r="549" spans="1:14" x14ac:dyDescent="0.2">
      <c r="A549" s="92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</row>
    <row r="550" spans="1:14" x14ac:dyDescent="0.2">
      <c r="A550" s="92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</row>
    <row r="551" spans="1:14" x14ac:dyDescent="0.2">
      <c r="A551" s="92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</row>
    <row r="552" spans="1:14" x14ac:dyDescent="0.2">
      <c r="A552" s="92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</row>
    <row r="553" spans="1:14" x14ac:dyDescent="0.2">
      <c r="A553" s="92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</row>
    <row r="554" spans="1:14" x14ac:dyDescent="0.2">
      <c r="A554" s="92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</row>
    <row r="555" spans="1:14" x14ac:dyDescent="0.2">
      <c r="A555" s="92"/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</row>
    <row r="556" spans="1:14" x14ac:dyDescent="0.2">
      <c r="A556" s="92"/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</row>
    <row r="557" spans="1:14" x14ac:dyDescent="0.2">
      <c r="A557" s="92"/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</row>
    <row r="558" spans="1:14" ht="15.75" customHeight="1" x14ac:dyDescent="0.2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85"/>
      <c r="N558" s="85"/>
    </row>
    <row r="559" spans="1:14" x14ac:dyDescent="0.2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85"/>
      <c r="N559" s="85"/>
    </row>
    <row r="560" spans="1:14" ht="15" customHeight="1" x14ac:dyDescent="0.2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85"/>
      <c r="N560" s="85"/>
    </row>
    <row r="561" spans="1:14" ht="15" customHeight="1" x14ac:dyDescent="0.2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85"/>
      <c r="N561" s="85"/>
    </row>
    <row r="562" spans="1:14" x14ac:dyDescent="0.2">
      <c r="A562" s="6"/>
      <c r="B562" s="75"/>
      <c r="C562" s="75"/>
      <c r="D562" s="6"/>
      <c r="E562" s="6"/>
      <c r="F562" s="6"/>
      <c r="G562" s="6"/>
      <c r="H562" s="6"/>
      <c r="I562" s="6"/>
      <c r="J562" s="6"/>
      <c r="K562" s="6"/>
      <c r="L562" s="6"/>
      <c r="M562" s="85"/>
      <c r="N562" s="85"/>
    </row>
    <row r="563" spans="1:14" x14ac:dyDescent="0.2">
      <c r="A563" s="6"/>
      <c r="B563" s="75"/>
      <c r="C563" s="75"/>
      <c r="D563" s="6"/>
      <c r="E563" s="6"/>
      <c r="F563" s="6"/>
      <c r="G563" s="6"/>
      <c r="H563" s="6"/>
      <c r="I563" s="6"/>
      <c r="J563" s="6"/>
      <c r="K563" s="6"/>
      <c r="L563" s="6"/>
      <c r="M563" s="85"/>
      <c r="N563" s="85"/>
    </row>
    <row r="564" spans="1:14" x14ac:dyDescent="0.2">
      <c r="A564" s="6"/>
      <c r="B564" s="75"/>
      <c r="C564" s="75"/>
      <c r="D564" s="6"/>
      <c r="E564" s="6"/>
      <c r="F564" s="6"/>
      <c r="G564" s="6"/>
      <c r="H564" s="6"/>
      <c r="I564" s="6"/>
      <c r="J564" s="6"/>
      <c r="K564" s="6"/>
      <c r="L564" s="6"/>
      <c r="M564" s="85"/>
      <c r="N564" s="85"/>
    </row>
    <row r="565" spans="1:14" x14ac:dyDescent="0.2">
      <c r="A565" s="91"/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</row>
    <row r="566" spans="1:14" ht="18.75" customHeight="1" x14ac:dyDescent="0.2">
      <c r="A566" s="75"/>
      <c r="B566" s="75"/>
      <c r="C566" s="75"/>
      <c r="D566" s="6"/>
      <c r="E566" s="6"/>
      <c r="F566" s="6"/>
      <c r="G566" s="75"/>
      <c r="H566" s="75"/>
      <c r="I566" s="75"/>
      <c r="J566" s="75"/>
      <c r="K566" s="75"/>
      <c r="L566" s="75"/>
      <c r="M566" s="75"/>
      <c r="N566" s="75"/>
    </row>
    <row r="567" spans="1:14" x14ac:dyDescent="0.2">
      <c r="A567" s="75"/>
      <c r="B567" s="75"/>
      <c r="C567" s="75"/>
      <c r="D567" s="75"/>
      <c r="E567" s="75"/>
      <c r="F567" s="75"/>
      <c r="G567" s="75"/>
      <c r="H567" s="75"/>
      <c r="I567" s="75"/>
      <c r="J567" s="6"/>
      <c r="K567" s="75"/>
      <c r="L567" s="75"/>
      <c r="M567" s="75"/>
      <c r="N567" s="75"/>
    </row>
    <row r="568" spans="1:14" x14ac:dyDescent="0.2">
      <c r="A568" s="75"/>
      <c r="B568" s="75"/>
      <c r="C568" s="75"/>
      <c r="D568" s="75"/>
      <c r="E568" s="75"/>
      <c r="F568" s="75"/>
      <c r="G568" s="75"/>
      <c r="H568" s="75"/>
      <c r="I568" s="75"/>
      <c r="J568" s="111"/>
      <c r="K568" s="75"/>
      <c r="L568" s="75"/>
      <c r="M568" s="75"/>
      <c r="N568" s="75"/>
    </row>
    <row r="569" spans="1:14" x14ac:dyDescent="0.2">
      <c r="A569" s="6"/>
      <c r="B569" s="75"/>
      <c r="C569" s="75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1:14" x14ac:dyDescent="0.2">
      <c r="A570" s="6"/>
      <c r="B570" s="75"/>
      <c r="C570" s="75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1:14" x14ac:dyDescent="0.2">
      <c r="A571" s="6"/>
      <c r="B571" s="75"/>
      <c r="C571" s="75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1:14" x14ac:dyDescent="0.2">
      <c r="A572" s="91"/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</row>
    <row r="573" spans="1:14" x14ac:dyDescent="0.2">
      <c r="A573" s="75"/>
      <c r="B573" s="75"/>
      <c r="C573" s="75"/>
      <c r="D573" s="75"/>
      <c r="E573" s="75"/>
      <c r="F573" s="75"/>
      <c r="G573" s="75"/>
      <c r="H573" s="6"/>
      <c r="I573" s="85"/>
      <c r="J573" s="85"/>
      <c r="K573" s="85"/>
      <c r="L573" s="85"/>
      <c r="M573" s="85"/>
      <c r="N573" s="85"/>
    </row>
    <row r="574" spans="1:14" x14ac:dyDescent="0.2">
      <c r="A574" s="75"/>
      <c r="B574" s="75"/>
      <c r="C574" s="75"/>
      <c r="D574" s="75"/>
      <c r="E574" s="75"/>
      <c r="F574" s="75"/>
      <c r="G574" s="75"/>
      <c r="H574" s="6"/>
      <c r="I574" s="85"/>
      <c r="J574" s="85"/>
      <c r="K574" s="85"/>
      <c r="L574" s="85"/>
      <c r="M574" s="85"/>
      <c r="N574" s="85"/>
    </row>
    <row r="575" spans="1:14" x14ac:dyDescent="0.2">
      <c r="A575" s="75"/>
      <c r="B575" s="75"/>
      <c r="C575" s="75"/>
      <c r="D575" s="6"/>
      <c r="E575" s="6"/>
      <c r="F575" s="6"/>
      <c r="G575" s="6"/>
      <c r="H575" s="75"/>
      <c r="I575" s="85"/>
      <c r="J575" s="85"/>
      <c r="K575" s="85"/>
      <c r="L575" s="85"/>
      <c r="M575" s="85"/>
      <c r="N575" s="85"/>
    </row>
    <row r="576" spans="1:14" x14ac:dyDescent="0.2">
      <c r="A576" s="6"/>
      <c r="B576" s="75"/>
      <c r="C576" s="75"/>
      <c r="D576" s="6"/>
      <c r="E576" s="6"/>
      <c r="F576" s="6"/>
      <c r="G576" s="6"/>
      <c r="H576" s="6"/>
      <c r="I576" s="85"/>
      <c r="J576" s="85"/>
      <c r="K576" s="85"/>
      <c r="L576" s="85"/>
      <c r="M576" s="85"/>
      <c r="N576" s="85"/>
    </row>
    <row r="577" spans="1:14" x14ac:dyDescent="0.2">
      <c r="A577" s="6"/>
      <c r="B577" s="75"/>
      <c r="C577" s="75"/>
      <c r="D577" s="6"/>
      <c r="E577" s="6"/>
      <c r="F577" s="6"/>
      <c r="G577" s="6"/>
      <c r="H577" s="6"/>
      <c r="I577" s="85"/>
      <c r="J577" s="85"/>
      <c r="K577" s="85"/>
      <c r="L577" s="85"/>
      <c r="M577" s="85"/>
      <c r="N577" s="85"/>
    </row>
    <row r="578" spans="1:14" x14ac:dyDescent="0.2">
      <c r="A578" s="6"/>
      <c r="B578" s="75"/>
      <c r="C578" s="75"/>
      <c r="D578" s="6"/>
      <c r="E578" s="6"/>
      <c r="F578" s="6"/>
      <c r="G578" s="6"/>
      <c r="H578" s="6"/>
      <c r="I578" s="85"/>
      <c r="J578" s="85"/>
      <c r="K578" s="85"/>
      <c r="L578" s="85"/>
      <c r="M578" s="85"/>
      <c r="N578" s="85"/>
    </row>
    <row r="579" spans="1:14" x14ac:dyDescent="0.2">
      <c r="A579" s="91"/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</row>
    <row r="580" spans="1:14" x14ac:dyDescent="0.2">
      <c r="A580" s="91"/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</row>
    <row r="581" spans="1:14" x14ac:dyDescent="0.2">
      <c r="A581" s="91"/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</row>
    <row r="582" spans="1:14" x14ac:dyDescent="0.2">
      <c r="A582" s="91"/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</row>
    <row r="583" spans="1:14" x14ac:dyDescent="0.2">
      <c r="A583" s="91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</row>
    <row r="584" spans="1:14" x14ac:dyDescent="0.2">
      <c r="A584" s="91"/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</row>
    <row r="585" spans="1:14" x14ac:dyDescent="0.2">
      <c r="A585" s="92"/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</row>
    <row r="586" spans="1:14" x14ac:dyDescent="0.2">
      <c r="A586" s="92"/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</row>
    <row r="587" spans="1:14" ht="15.75" customHeight="1" x14ac:dyDescent="0.2">
      <c r="A587" s="75"/>
      <c r="B587" s="6"/>
      <c r="C587" s="6"/>
      <c r="D587" s="75"/>
      <c r="E587" s="75"/>
      <c r="F587" s="75"/>
      <c r="G587" s="75"/>
      <c r="H587" s="85"/>
      <c r="I587" s="85"/>
      <c r="J587" s="85"/>
      <c r="K587" s="85"/>
      <c r="L587" s="85"/>
      <c r="M587" s="85"/>
      <c r="N587" s="85"/>
    </row>
    <row r="588" spans="1:14" x14ac:dyDescent="0.2">
      <c r="A588" s="75"/>
      <c r="B588" s="6"/>
      <c r="C588" s="6"/>
      <c r="D588" s="75"/>
      <c r="E588" s="75"/>
      <c r="F588" s="75"/>
      <c r="G588" s="87"/>
      <c r="H588" s="85"/>
      <c r="I588" s="85"/>
      <c r="J588" s="85"/>
      <c r="K588" s="85"/>
      <c r="L588" s="85"/>
      <c r="M588" s="85"/>
      <c r="N588" s="85"/>
    </row>
    <row r="589" spans="1:14" x14ac:dyDescent="0.2">
      <c r="A589" s="75"/>
      <c r="B589" s="75"/>
      <c r="C589" s="75"/>
      <c r="D589" s="6"/>
      <c r="E589" s="6"/>
      <c r="F589" s="6"/>
      <c r="G589" s="6"/>
      <c r="H589" s="85"/>
      <c r="I589" s="85"/>
      <c r="J589" s="85"/>
      <c r="K589" s="85"/>
      <c r="L589" s="85"/>
      <c r="M589" s="85"/>
      <c r="N589" s="85"/>
    </row>
    <row r="590" spans="1:14" x14ac:dyDescent="0.2">
      <c r="A590" s="6"/>
      <c r="B590" s="6"/>
      <c r="C590" s="6"/>
      <c r="D590" s="6"/>
      <c r="E590" s="6"/>
      <c r="F590" s="6"/>
      <c r="G590" s="6"/>
      <c r="H590" s="85"/>
      <c r="I590" s="85"/>
      <c r="J590" s="85"/>
      <c r="K590" s="85"/>
      <c r="L590" s="85"/>
      <c r="M590" s="85"/>
      <c r="N590" s="85"/>
    </row>
    <row r="591" spans="1:14" x14ac:dyDescent="0.2">
      <c r="A591" s="6"/>
      <c r="B591" s="75"/>
      <c r="C591" s="75"/>
      <c r="D591" s="6"/>
      <c r="E591" s="6"/>
      <c r="F591" s="6"/>
      <c r="G591" s="6"/>
      <c r="H591" s="85"/>
      <c r="I591" s="85"/>
      <c r="J591" s="85"/>
      <c r="K591" s="85"/>
      <c r="L591" s="85"/>
      <c r="M591" s="85"/>
      <c r="N591" s="85"/>
    </row>
    <row r="592" spans="1:14" x14ac:dyDescent="0.2">
      <c r="A592" s="6"/>
      <c r="B592" s="75"/>
      <c r="C592" s="75"/>
      <c r="D592" s="6"/>
      <c r="E592" s="6"/>
      <c r="F592" s="6"/>
      <c r="G592" s="6"/>
      <c r="H592" s="85"/>
      <c r="I592" s="85"/>
      <c r="J592" s="85"/>
      <c r="K592" s="85"/>
      <c r="L592" s="85"/>
      <c r="M592" s="85"/>
      <c r="N592" s="85"/>
    </row>
    <row r="593" spans="1:14" x14ac:dyDescent="0.2">
      <c r="A593" s="6"/>
      <c r="B593" s="75"/>
      <c r="C593" s="75"/>
      <c r="D593" s="6"/>
      <c r="E593" s="6"/>
      <c r="F593" s="6"/>
      <c r="G593" s="6"/>
      <c r="H593" s="85"/>
      <c r="I593" s="85"/>
      <c r="J593" s="85"/>
      <c r="K593" s="85"/>
      <c r="L593" s="85"/>
      <c r="M593" s="85"/>
      <c r="N593" s="85"/>
    </row>
    <row r="594" spans="1:14" x14ac:dyDescent="0.2">
      <c r="A594" s="91"/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</row>
    <row r="595" spans="1:14" x14ac:dyDescent="0.2">
      <c r="A595" s="75"/>
      <c r="B595" s="6"/>
      <c r="C595" s="6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85"/>
    </row>
    <row r="596" spans="1:14" x14ac:dyDescent="0.2">
      <c r="A596" s="75"/>
      <c r="B596" s="6"/>
      <c r="C596" s="6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85"/>
    </row>
    <row r="597" spans="1:14" ht="15.75" customHeight="1" x14ac:dyDescent="0.2">
      <c r="A597" s="75"/>
      <c r="B597" s="6"/>
      <c r="C597" s="6"/>
      <c r="D597" s="112"/>
      <c r="E597" s="112"/>
      <c r="F597" s="112"/>
      <c r="G597" s="87"/>
      <c r="H597" s="87"/>
      <c r="I597" s="87"/>
      <c r="J597" s="87"/>
      <c r="K597" s="75"/>
      <c r="L597" s="75"/>
      <c r="M597" s="75"/>
      <c r="N597" s="85"/>
    </row>
    <row r="598" spans="1:14" ht="16.5" customHeight="1" x14ac:dyDescent="0.2">
      <c r="A598" s="75"/>
      <c r="B598" s="6"/>
      <c r="C598" s="6"/>
      <c r="D598" s="6"/>
      <c r="E598" s="112"/>
      <c r="F598" s="112"/>
      <c r="G598" s="75"/>
      <c r="H598" s="87"/>
      <c r="I598" s="87"/>
      <c r="J598" s="87"/>
      <c r="K598" s="75"/>
      <c r="L598" s="75"/>
      <c r="M598" s="75"/>
      <c r="N598" s="85"/>
    </row>
    <row r="599" spans="1:14" x14ac:dyDescent="0.2">
      <c r="A599" s="75"/>
      <c r="B599" s="75"/>
      <c r="C599" s="75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85"/>
    </row>
    <row r="600" spans="1:14" x14ac:dyDescent="0.2">
      <c r="A600" s="6"/>
      <c r="B600" s="75"/>
      <c r="C600" s="75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85"/>
    </row>
    <row r="601" spans="1:14" x14ac:dyDescent="0.2">
      <c r="A601" s="6"/>
      <c r="B601" s="75"/>
      <c r="C601" s="75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85"/>
    </row>
    <row r="602" spans="1:14" x14ac:dyDescent="0.2">
      <c r="A602" s="6"/>
      <c r="B602" s="75"/>
      <c r="C602" s="75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85"/>
    </row>
    <row r="603" spans="1:14" x14ac:dyDescent="0.2">
      <c r="A603" s="92"/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</row>
    <row r="604" spans="1:14" ht="15.75" customHeight="1" x14ac:dyDescent="0.2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85"/>
      <c r="N604" s="85"/>
    </row>
    <row r="605" spans="1:14" x14ac:dyDescent="0.2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85"/>
      <c r="N605" s="85"/>
    </row>
    <row r="606" spans="1:14" ht="15" customHeight="1" x14ac:dyDescent="0.2">
      <c r="A606" s="75"/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85"/>
      <c r="N606" s="85"/>
    </row>
    <row r="607" spans="1:14" ht="15" customHeight="1" x14ac:dyDescent="0.2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85"/>
      <c r="N607" s="85"/>
    </row>
    <row r="608" spans="1:14" x14ac:dyDescent="0.2">
      <c r="A608" s="75"/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85"/>
      <c r="N608" s="85"/>
    </row>
    <row r="609" spans="1:14" x14ac:dyDescent="0.2">
      <c r="A609" s="92"/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</row>
    <row r="610" spans="1:14" x14ac:dyDescent="0.2">
      <c r="A610" s="6"/>
      <c r="B610" s="75"/>
      <c r="C610" s="75"/>
      <c r="D610" s="6"/>
      <c r="E610" s="6"/>
      <c r="F610" s="6"/>
      <c r="G610" s="6"/>
      <c r="H610" s="6"/>
      <c r="I610" s="6"/>
      <c r="J610" s="6"/>
      <c r="K610" s="6"/>
      <c r="L610" s="6"/>
      <c r="M610" s="85"/>
      <c r="N610" s="85"/>
    </row>
    <row r="611" spans="1:14" x14ac:dyDescent="0.2">
      <c r="A611" s="6"/>
      <c r="B611" s="75"/>
      <c r="C611" s="75"/>
      <c r="D611" s="6"/>
      <c r="E611" s="6"/>
      <c r="F611" s="6"/>
      <c r="G611" s="6"/>
      <c r="H611" s="6"/>
      <c r="I611" s="6"/>
      <c r="J611" s="6"/>
      <c r="K611" s="6"/>
      <c r="L611" s="6"/>
      <c r="M611" s="85"/>
      <c r="N611" s="85"/>
    </row>
    <row r="612" spans="1:14" x14ac:dyDescent="0.2">
      <c r="A612" s="6"/>
      <c r="B612" s="75"/>
      <c r="C612" s="75"/>
      <c r="D612" s="6"/>
      <c r="E612" s="6"/>
      <c r="F612" s="6"/>
      <c r="G612" s="6"/>
      <c r="H612" s="6"/>
      <c r="I612" s="6"/>
      <c r="J612" s="6"/>
      <c r="K612" s="6"/>
      <c r="L612" s="6"/>
      <c r="M612" s="85"/>
      <c r="N612" s="85"/>
    </row>
    <row r="613" spans="1:14" x14ac:dyDescent="0.2">
      <c r="A613" s="75"/>
      <c r="B613" s="75"/>
      <c r="C613" s="75"/>
      <c r="D613" s="6"/>
      <c r="E613" s="6"/>
      <c r="F613" s="6"/>
      <c r="G613" s="6"/>
      <c r="H613" s="6"/>
      <c r="I613" s="6"/>
      <c r="J613" s="6"/>
      <c r="K613" s="6"/>
      <c r="L613" s="6"/>
      <c r="M613" s="85"/>
      <c r="N613" s="85"/>
    </row>
    <row r="614" spans="1:14" x14ac:dyDescent="0.2">
      <c r="A614" s="92"/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</row>
    <row r="615" spans="1:14" x14ac:dyDescent="0.2">
      <c r="A615" s="92"/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</row>
    <row r="616" spans="1:14" ht="15.75" customHeight="1" x14ac:dyDescent="0.2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85"/>
      <c r="N616" s="85"/>
    </row>
    <row r="617" spans="1:14" x14ac:dyDescent="0.2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85"/>
      <c r="N617" s="85"/>
    </row>
    <row r="618" spans="1:14" ht="15" customHeight="1" x14ac:dyDescent="0.2">
      <c r="A618" s="75"/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85"/>
      <c r="N618" s="85"/>
    </row>
    <row r="619" spans="1:14" ht="15" customHeight="1" x14ac:dyDescent="0.2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85"/>
      <c r="N619" s="85"/>
    </row>
    <row r="620" spans="1:14" x14ac:dyDescent="0.2">
      <c r="A620" s="75"/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85"/>
      <c r="N620" s="85"/>
    </row>
    <row r="621" spans="1:14" x14ac:dyDescent="0.2">
      <c r="A621" s="92"/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</row>
    <row r="622" spans="1:14" x14ac:dyDescent="0.2">
      <c r="A622" s="6"/>
      <c r="B622" s="75"/>
      <c r="C622" s="75"/>
      <c r="D622" s="6"/>
      <c r="E622" s="6"/>
      <c r="F622" s="6"/>
      <c r="G622" s="6"/>
      <c r="H622" s="6"/>
      <c r="I622" s="6"/>
      <c r="J622" s="6"/>
      <c r="K622" s="6"/>
      <c r="L622" s="6"/>
      <c r="M622" s="85"/>
      <c r="N622" s="85"/>
    </row>
    <row r="623" spans="1:14" x14ac:dyDescent="0.2">
      <c r="A623" s="6"/>
      <c r="B623" s="75"/>
      <c r="C623" s="75"/>
      <c r="D623" s="6"/>
      <c r="E623" s="6"/>
      <c r="F623" s="6"/>
      <c r="G623" s="6"/>
      <c r="H623" s="6"/>
      <c r="I623" s="6"/>
      <c r="J623" s="6"/>
      <c r="K623" s="6"/>
      <c r="L623" s="6"/>
      <c r="M623" s="85"/>
      <c r="N623" s="85"/>
    </row>
    <row r="624" spans="1:14" x14ac:dyDescent="0.2">
      <c r="A624" s="6"/>
      <c r="B624" s="75"/>
      <c r="C624" s="75"/>
      <c r="D624" s="6"/>
      <c r="E624" s="6"/>
      <c r="F624" s="6"/>
      <c r="G624" s="6"/>
      <c r="H624" s="6"/>
      <c r="I624" s="6"/>
      <c r="J624" s="6"/>
      <c r="K624" s="6"/>
      <c r="L624" s="6"/>
      <c r="M624" s="85"/>
      <c r="N624" s="85"/>
    </row>
    <row r="625" spans="1:14" x14ac:dyDescent="0.2">
      <c r="A625" s="75"/>
      <c r="B625" s="75"/>
      <c r="C625" s="75"/>
      <c r="D625" s="6"/>
      <c r="E625" s="6"/>
      <c r="F625" s="6"/>
      <c r="G625" s="6"/>
      <c r="H625" s="6"/>
      <c r="I625" s="6"/>
      <c r="J625" s="6"/>
      <c r="K625" s="6"/>
      <c r="L625" s="6"/>
      <c r="M625" s="85"/>
      <c r="N625" s="85"/>
    </row>
    <row r="626" spans="1:14" x14ac:dyDescent="0.2">
      <c r="A626" s="92"/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</row>
    <row r="627" spans="1:14" x14ac:dyDescent="0.2">
      <c r="A627" s="6"/>
      <c r="B627" s="75"/>
      <c r="C627" s="75"/>
      <c r="D627" s="6"/>
      <c r="E627" s="6"/>
      <c r="F627" s="6"/>
      <c r="G627" s="6"/>
      <c r="H627" s="6"/>
      <c r="I627" s="6"/>
      <c r="J627" s="6"/>
      <c r="K627" s="6"/>
      <c r="L627" s="6"/>
      <c r="M627" s="85"/>
      <c r="N627" s="85"/>
    </row>
    <row r="628" spans="1:14" x14ac:dyDescent="0.2">
      <c r="A628" s="6"/>
      <c r="B628" s="75"/>
      <c r="C628" s="75"/>
      <c r="D628" s="6"/>
      <c r="E628" s="6"/>
      <c r="F628" s="6"/>
      <c r="G628" s="6"/>
      <c r="H628" s="6"/>
      <c r="I628" s="6"/>
      <c r="J628" s="6"/>
      <c r="K628" s="6"/>
      <c r="L628" s="6"/>
      <c r="M628" s="85"/>
      <c r="N628" s="85"/>
    </row>
    <row r="629" spans="1:14" x14ac:dyDescent="0.2">
      <c r="A629" s="6"/>
      <c r="B629" s="75"/>
      <c r="C629" s="75"/>
      <c r="D629" s="6"/>
      <c r="E629" s="6"/>
      <c r="F629" s="6"/>
      <c r="G629" s="6"/>
      <c r="H629" s="6"/>
      <c r="I629" s="6"/>
      <c r="J629" s="6"/>
      <c r="K629" s="6"/>
      <c r="L629" s="6"/>
      <c r="M629" s="85"/>
      <c r="N629" s="85"/>
    </row>
    <row r="630" spans="1:14" x14ac:dyDescent="0.2">
      <c r="A630" s="75"/>
      <c r="B630" s="75"/>
      <c r="C630" s="75"/>
      <c r="D630" s="6"/>
      <c r="E630" s="6"/>
      <c r="F630" s="6"/>
      <c r="G630" s="6"/>
      <c r="H630" s="6"/>
      <c r="I630" s="6"/>
      <c r="J630" s="6"/>
      <c r="K630" s="6"/>
      <c r="L630" s="6"/>
      <c r="M630" s="85"/>
      <c r="N630" s="85"/>
    </row>
    <row r="631" spans="1:14" x14ac:dyDescent="0.2">
      <c r="A631" s="92"/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</row>
    <row r="632" spans="1:14" ht="18.75" customHeight="1" x14ac:dyDescent="0.2">
      <c r="A632" s="75"/>
      <c r="B632" s="75"/>
      <c r="C632" s="75"/>
      <c r="D632" s="6"/>
      <c r="E632" s="6"/>
      <c r="F632" s="6"/>
      <c r="G632" s="75"/>
      <c r="H632" s="75"/>
      <c r="I632" s="75"/>
      <c r="J632" s="75"/>
      <c r="K632" s="75"/>
      <c r="L632" s="75"/>
      <c r="M632" s="75"/>
      <c r="N632" s="75"/>
    </row>
    <row r="633" spans="1:14" x14ac:dyDescent="0.2">
      <c r="A633" s="75"/>
      <c r="B633" s="75"/>
      <c r="C633" s="75"/>
      <c r="D633" s="75"/>
      <c r="E633" s="75"/>
      <c r="F633" s="75"/>
      <c r="G633" s="75"/>
      <c r="H633" s="75"/>
      <c r="I633" s="75"/>
      <c r="J633" s="6"/>
      <c r="K633" s="75"/>
      <c r="L633" s="75"/>
      <c r="M633" s="75"/>
      <c r="N633" s="75"/>
    </row>
    <row r="634" spans="1:14" x14ac:dyDescent="0.2">
      <c r="A634" s="75"/>
      <c r="B634" s="75"/>
      <c r="C634" s="75"/>
      <c r="D634" s="75"/>
      <c r="E634" s="75"/>
      <c r="F634" s="75"/>
      <c r="G634" s="75"/>
      <c r="H634" s="75"/>
      <c r="I634" s="75"/>
      <c r="J634" s="111"/>
      <c r="K634" s="75"/>
      <c r="L634" s="75"/>
      <c r="M634" s="75"/>
      <c r="N634" s="75"/>
    </row>
    <row r="635" spans="1:14" x14ac:dyDescent="0.2">
      <c r="A635" s="75"/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</row>
    <row r="636" spans="1:14" x14ac:dyDescent="0.2">
      <c r="A636" s="92"/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</row>
    <row r="637" spans="1:14" x14ac:dyDescent="0.2">
      <c r="A637" s="6"/>
      <c r="B637" s="75"/>
      <c r="C637" s="75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</row>
    <row r="638" spans="1:14" x14ac:dyDescent="0.2">
      <c r="A638" s="6"/>
      <c r="B638" s="75"/>
      <c r="C638" s="75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</row>
    <row r="639" spans="1:14" x14ac:dyDescent="0.2">
      <c r="A639" s="6"/>
      <c r="B639" s="75"/>
      <c r="C639" s="75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1:14" x14ac:dyDescent="0.2">
      <c r="A640" s="92"/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</row>
    <row r="641" spans="1:14" x14ac:dyDescent="0.2">
      <c r="A641" s="6"/>
      <c r="B641" s="75"/>
      <c r="C641" s="75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</row>
    <row r="642" spans="1:14" x14ac:dyDescent="0.2">
      <c r="A642" s="6"/>
      <c r="B642" s="75"/>
      <c r="C642" s="75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</row>
    <row r="643" spans="1:14" x14ac:dyDescent="0.2">
      <c r="A643" s="6"/>
      <c r="B643" s="75"/>
      <c r="C643" s="75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</row>
    <row r="644" spans="1:14" x14ac:dyDescent="0.2">
      <c r="A644" s="92"/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</row>
    <row r="645" spans="1:14" ht="18.75" customHeight="1" x14ac:dyDescent="0.2">
      <c r="A645" s="75"/>
      <c r="B645" s="75"/>
      <c r="C645" s="75"/>
      <c r="D645" s="6"/>
      <c r="E645" s="6"/>
      <c r="F645" s="6"/>
      <c r="G645" s="75"/>
      <c r="H645" s="75"/>
      <c r="I645" s="75"/>
      <c r="J645" s="75"/>
      <c r="K645" s="75"/>
      <c r="L645" s="75"/>
      <c r="M645" s="75"/>
      <c r="N645" s="75"/>
    </row>
    <row r="646" spans="1:14" x14ac:dyDescent="0.2">
      <c r="A646" s="75"/>
      <c r="B646" s="75"/>
      <c r="C646" s="75"/>
      <c r="D646" s="75"/>
      <c r="E646" s="75"/>
      <c r="F646" s="75"/>
      <c r="G646" s="75"/>
      <c r="H646" s="75"/>
      <c r="I646" s="75"/>
      <c r="J646" s="6"/>
      <c r="K646" s="75"/>
      <c r="L646" s="75"/>
      <c r="M646" s="75"/>
      <c r="N646" s="75"/>
    </row>
    <row r="647" spans="1:14" x14ac:dyDescent="0.2">
      <c r="A647" s="75"/>
      <c r="B647" s="75"/>
      <c r="C647" s="75"/>
      <c r="D647" s="75"/>
      <c r="E647" s="75"/>
      <c r="F647" s="75"/>
      <c r="G647" s="75"/>
      <c r="H647" s="75"/>
      <c r="I647" s="75"/>
      <c r="J647" s="111"/>
      <c r="K647" s="75"/>
      <c r="L647" s="75"/>
      <c r="M647" s="75"/>
      <c r="N647" s="75"/>
    </row>
    <row r="648" spans="1:14" x14ac:dyDescent="0.2">
      <c r="A648" s="75"/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</row>
    <row r="649" spans="1:14" x14ac:dyDescent="0.2">
      <c r="A649" s="92"/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</row>
    <row r="650" spans="1:14" x14ac:dyDescent="0.2">
      <c r="A650" s="6"/>
      <c r="B650" s="75"/>
      <c r="C650" s="75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</row>
    <row r="651" spans="1:14" x14ac:dyDescent="0.2">
      <c r="A651" s="6"/>
      <c r="B651" s="75"/>
      <c r="C651" s="75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</row>
    <row r="652" spans="1:14" x14ac:dyDescent="0.2">
      <c r="A652" s="6"/>
      <c r="B652" s="75"/>
      <c r="C652" s="75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</row>
    <row r="653" spans="1:14" x14ac:dyDescent="0.2">
      <c r="A653" s="91"/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</row>
    <row r="654" spans="1:14" x14ac:dyDescent="0.2">
      <c r="A654" s="75"/>
      <c r="B654" s="75"/>
      <c r="C654" s="75"/>
      <c r="D654" s="75"/>
      <c r="E654" s="75"/>
      <c r="F654" s="75"/>
      <c r="G654" s="75"/>
      <c r="H654" s="6"/>
      <c r="I654" s="85"/>
      <c r="J654" s="85"/>
      <c r="K654" s="85"/>
      <c r="L654" s="85"/>
      <c r="M654" s="85"/>
      <c r="N654" s="85"/>
    </row>
    <row r="655" spans="1:14" x14ac:dyDescent="0.2">
      <c r="A655" s="75"/>
      <c r="B655" s="75"/>
      <c r="C655" s="75"/>
      <c r="D655" s="75"/>
      <c r="E655" s="75"/>
      <c r="F655" s="75"/>
      <c r="G655" s="75"/>
      <c r="H655" s="6"/>
      <c r="I655" s="85"/>
      <c r="J655" s="85"/>
      <c r="K655" s="85"/>
      <c r="L655" s="85"/>
      <c r="M655" s="85"/>
      <c r="N655" s="85"/>
    </row>
    <row r="656" spans="1:14" x14ac:dyDescent="0.2">
      <c r="A656" s="75"/>
      <c r="B656" s="75"/>
      <c r="C656" s="75"/>
      <c r="D656" s="6"/>
      <c r="E656" s="6"/>
      <c r="F656" s="6"/>
      <c r="G656" s="6"/>
      <c r="H656" s="75"/>
      <c r="I656" s="85"/>
      <c r="J656" s="85"/>
      <c r="K656" s="85"/>
      <c r="L656" s="85"/>
      <c r="M656" s="85"/>
      <c r="N656" s="85"/>
    </row>
    <row r="657" spans="1:14" x14ac:dyDescent="0.2">
      <c r="A657" s="75"/>
      <c r="B657" s="75"/>
      <c r="C657" s="75"/>
      <c r="D657" s="75"/>
      <c r="E657" s="75"/>
      <c r="F657" s="75"/>
      <c r="G657" s="75"/>
      <c r="H657" s="75"/>
      <c r="I657" s="85"/>
      <c r="J657" s="85"/>
      <c r="K657" s="85"/>
      <c r="L657" s="85"/>
      <c r="M657" s="85"/>
      <c r="N657" s="85"/>
    </row>
    <row r="658" spans="1:14" x14ac:dyDescent="0.2">
      <c r="A658" s="92"/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</row>
    <row r="659" spans="1:14" x14ac:dyDescent="0.2">
      <c r="A659" s="6"/>
      <c r="B659" s="75"/>
      <c r="C659" s="75"/>
      <c r="D659" s="6"/>
      <c r="E659" s="6"/>
      <c r="F659" s="6"/>
      <c r="G659" s="6"/>
      <c r="H659" s="6"/>
      <c r="I659" s="85"/>
      <c r="J659" s="85"/>
      <c r="K659" s="85"/>
      <c r="L659" s="85"/>
      <c r="M659" s="85"/>
      <c r="N659" s="85"/>
    </row>
    <row r="660" spans="1:14" x14ac:dyDescent="0.2">
      <c r="A660" s="6"/>
      <c r="B660" s="75"/>
      <c r="C660" s="75"/>
      <c r="D660" s="6"/>
      <c r="E660" s="6"/>
      <c r="F660" s="6"/>
      <c r="G660" s="6"/>
      <c r="H660" s="6"/>
      <c r="I660" s="85"/>
      <c r="J660" s="85"/>
      <c r="K660" s="85"/>
      <c r="L660" s="85"/>
      <c r="M660" s="85"/>
      <c r="N660" s="85"/>
    </row>
    <row r="661" spans="1:14" x14ac:dyDescent="0.2">
      <c r="A661" s="6"/>
      <c r="B661" s="75"/>
      <c r="C661" s="75"/>
      <c r="D661" s="6"/>
      <c r="E661" s="6"/>
      <c r="F661" s="6"/>
      <c r="G661" s="6"/>
      <c r="H661" s="6"/>
      <c r="I661" s="85"/>
      <c r="J661" s="85"/>
      <c r="K661" s="85"/>
      <c r="L661" s="85"/>
      <c r="M661" s="85"/>
      <c r="N661" s="85"/>
    </row>
    <row r="662" spans="1:14" x14ac:dyDescent="0.2">
      <c r="A662" s="92"/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</row>
    <row r="663" spans="1:14" x14ac:dyDescent="0.2">
      <c r="A663" s="6"/>
      <c r="B663" s="75"/>
      <c r="C663" s="75"/>
      <c r="D663" s="6"/>
      <c r="E663" s="6"/>
      <c r="F663" s="6"/>
      <c r="G663" s="6"/>
      <c r="H663" s="6"/>
      <c r="I663" s="85"/>
      <c r="J663" s="85"/>
      <c r="K663" s="85"/>
      <c r="L663" s="85"/>
      <c r="M663" s="85"/>
      <c r="N663" s="85"/>
    </row>
    <row r="664" spans="1:14" x14ac:dyDescent="0.2">
      <c r="A664" s="6"/>
      <c r="B664" s="75"/>
      <c r="C664" s="75"/>
      <c r="D664" s="6"/>
      <c r="E664" s="6"/>
      <c r="F664" s="6"/>
      <c r="G664" s="6"/>
      <c r="H664" s="6"/>
      <c r="I664" s="85"/>
      <c r="J664" s="85"/>
      <c r="K664" s="85"/>
      <c r="L664" s="85"/>
      <c r="M664" s="85"/>
      <c r="N664" s="85"/>
    </row>
    <row r="665" spans="1:14" x14ac:dyDescent="0.2">
      <c r="A665" s="6"/>
      <c r="B665" s="75"/>
      <c r="C665" s="75"/>
      <c r="D665" s="6"/>
      <c r="E665" s="6"/>
      <c r="F665" s="6"/>
      <c r="G665" s="6"/>
      <c r="H665" s="6"/>
      <c r="I665" s="85"/>
      <c r="J665" s="85"/>
      <c r="K665" s="85"/>
      <c r="L665" s="85"/>
      <c r="M665" s="85"/>
      <c r="N665" s="85"/>
    </row>
    <row r="666" spans="1:14" x14ac:dyDescent="0.2">
      <c r="A666" s="75"/>
      <c r="B666" s="75"/>
      <c r="C666" s="75"/>
      <c r="D666" s="75"/>
      <c r="E666" s="75"/>
      <c r="F666" s="75"/>
      <c r="G666" s="75"/>
      <c r="H666" s="75"/>
      <c r="I666" s="85"/>
      <c r="J666" s="85"/>
      <c r="K666" s="85"/>
      <c r="L666" s="85"/>
      <c r="M666" s="85"/>
      <c r="N666" s="85"/>
    </row>
    <row r="667" spans="1:14" x14ac:dyDescent="0.2">
      <c r="A667" s="92"/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</row>
    <row r="668" spans="1:14" x14ac:dyDescent="0.2">
      <c r="A668" s="6"/>
      <c r="B668" s="75"/>
      <c r="C668" s="75"/>
      <c r="D668" s="6"/>
      <c r="E668" s="6"/>
      <c r="F668" s="6"/>
      <c r="G668" s="6"/>
      <c r="H668" s="6"/>
      <c r="I668" s="85"/>
      <c r="J668" s="85"/>
      <c r="K668" s="85"/>
      <c r="L668" s="85"/>
      <c r="M668" s="85"/>
      <c r="N668" s="85"/>
    </row>
    <row r="669" spans="1:14" x14ac:dyDescent="0.2">
      <c r="A669" s="6"/>
      <c r="B669" s="75"/>
      <c r="C669" s="75"/>
      <c r="D669" s="6"/>
      <c r="E669" s="6"/>
      <c r="F669" s="6"/>
      <c r="G669" s="6"/>
      <c r="H669" s="6"/>
      <c r="I669" s="85"/>
      <c r="J669" s="85"/>
      <c r="K669" s="85"/>
      <c r="L669" s="85"/>
      <c r="M669" s="85"/>
      <c r="N669" s="85"/>
    </row>
    <row r="670" spans="1:14" x14ac:dyDescent="0.2">
      <c r="A670" s="6"/>
      <c r="B670" s="75"/>
      <c r="C670" s="75"/>
      <c r="D670" s="6"/>
      <c r="E670" s="6"/>
      <c r="F670" s="6"/>
      <c r="G670" s="6"/>
      <c r="H670" s="6"/>
      <c r="I670" s="85"/>
      <c r="J670" s="85"/>
      <c r="K670" s="85"/>
      <c r="L670" s="85"/>
      <c r="M670" s="85"/>
      <c r="N670" s="85"/>
    </row>
    <row r="671" spans="1:14" x14ac:dyDescent="0.2">
      <c r="A671" s="92"/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</row>
    <row r="672" spans="1:14" x14ac:dyDescent="0.2">
      <c r="A672" s="92"/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</row>
    <row r="673" spans="1:14" ht="15.75" customHeight="1" x14ac:dyDescent="0.2">
      <c r="A673" s="75"/>
      <c r="B673" s="6"/>
      <c r="C673" s="6"/>
      <c r="D673" s="75"/>
      <c r="E673" s="85"/>
      <c r="F673" s="85"/>
      <c r="G673" s="85"/>
      <c r="H673" s="85"/>
      <c r="I673" s="85"/>
      <c r="J673" s="85"/>
      <c r="K673" s="85"/>
      <c r="L673" s="85"/>
      <c r="M673" s="85"/>
      <c r="N673" s="85"/>
    </row>
    <row r="674" spans="1:14" x14ac:dyDescent="0.2">
      <c r="A674" s="75"/>
      <c r="B674" s="6"/>
      <c r="C674" s="6"/>
      <c r="D674" s="75"/>
      <c r="E674" s="85"/>
      <c r="F674" s="85"/>
      <c r="G674" s="85"/>
      <c r="H674" s="85"/>
      <c r="I674" s="85"/>
      <c r="J674" s="85"/>
      <c r="K674" s="85"/>
      <c r="L674" s="85"/>
      <c r="M674" s="85"/>
      <c r="N674" s="85"/>
    </row>
    <row r="675" spans="1:14" x14ac:dyDescent="0.2">
      <c r="A675" s="75"/>
      <c r="B675" s="75"/>
      <c r="C675" s="75"/>
      <c r="D675" s="6"/>
      <c r="E675" s="85"/>
      <c r="F675" s="85"/>
      <c r="G675" s="85"/>
      <c r="H675" s="85"/>
      <c r="I675" s="85"/>
      <c r="J675" s="85"/>
      <c r="K675" s="85"/>
      <c r="L675" s="85"/>
      <c r="M675" s="85"/>
      <c r="N675" s="85"/>
    </row>
    <row r="676" spans="1:14" x14ac:dyDescent="0.2">
      <c r="A676" s="75"/>
      <c r="B676" s="75"/>
      <c r="C676" s="75"/>
      <c r="D676" s="75"/>
      <c r="E676" s="85"/>
      <c r="F676" s="85"/>
      <c r="G676" s="85"/>
      <c r="H676" s="85"/>
      <c r="I676" s="85"/>
      <c r="J676" s="85"/>
      <c r="K676" s="85"/>
      <c r="L676" s="85"/>
      <c r="M676" s="85"/>
      <c r="N676" s="85"/>
    </row>
    <row r="677" spans="1:14" x14ac:dyDescent="0.2">
      <c r="A677" s="92"/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</row>
    <row r="678" spans="1:14" x14ac:dyDescent="0.2">
      <c r="A678" s="6"/>
      <c r="B678" s="6"/>
      <c r="C678" s="6"/>
      <c r="D678" s="6"/>
      <c r="E678" s="6"/>
      <c r="F678" s="6"/>
      <c r="G678" s="6"/>
      <c r="H678" s="85"/>
      <c r="I678" s="85"/>
      <c r="J678" s="85"/>
      <c r="K678" s="85"/>
      <c r="L678" s="85"/>
      <c r="M678" s="85"/>
      <c r="N678" s="85"/>
    </row>
    <row r="679" spans="1:14" x14ac:dyDescent="0.2">
      <c r="A679" s="6"/>
      <c r="B679" s="75"/>
      <c r="C679" s="75"/>
      <c r="D679" s="6"/>
      <c r="E679" s="6"/>
      <c r="F679" s="6"/>
      <c r="G679" s="6"/>
      <c r="H679" s="85"/>
      <c r="I679" s="85"/>
      <c r="J679" s="85"/>
      <c r="K679" s="85"/>
      <c r="L679" s="85"/>
      <c r="M679" s="85"/>
      <c r="N679" s="85"/>
    </row>
    <row r="680" spans="1:14" x14ac:dyDescent="0.2">
      <c r="A680" s="6"/>
      <c r="B680" s="75"/>
      <c r="C680" s="75"/>
      <c r="D680" s="6"/>
      <c r="E680" s="6"/>
      <c r="F680" s="6"/>
      <c r="G680" s="6"/>
      <c r="H680" s="85"/>
      <c r="I680" s="85"/>
      <c r="J680" s="85"/>
      <c r="K680" s="85"/>
      <c r="L680" s="85"/>
      <c r="M680" s="85"/>
      <c r="N680" s="85"/>
    </row>
    <row r="681" spans="1:14" x14ac:dyDescent="0.2">
      <c r="A681" s="6"/>
      <c r="B681" s="75"/>
      <c r="C681" s="75"/>
      <c r="D681" s="6"/>
      <c r="E681" s="6"/>
      <c r="F681" s="6"/>
      <c r="G681" s="6"/>
      <c r="H681" s="85"/>
      <c r="I681" s="85"/>
      <c r="J681" s="85"/>
      <c r="K681" s="85"/>
      <c r="L681" s="85"/>
      <c r="M681" s="85"/>
      <c r="N681" s="85"/>
    </row>
    <row r="682" spans="1:14" x14ac:dyDescent="0.2">
      <c r="A682" s="92"/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</row>
    <row r="683" spans="1:14" x14ac:dyDescent="0.2">
      <c r="A683" s="6"/>
      <c r="B683" s="6"/>
      <c r="C683" s="6"/>
      <c r="D683" s="6"/>
      <c r="E683" s="6"/>
      <c r="F683" s="6"/>
      <c r="G683" s="6"/>
      <c r="H683" s="85"/>
      <c r="I683" s="85"/>
      <c r="J683" s="85"/>
      <c r="K683" s="85"/>
      <c r="L683" s="85"/>
      <c r="M683" s="85"/>
      <c r="N683" s="85"/>
    </row>
    <row r="684" spans="1:14" x14ac:dyDescent="0.2">
      <c r="A684" s="6"/>
      <c r="B684" s="75"/>
      <c r="C684" s="75"/>
      <c r="D684" s="6"/>
      <c r="E684" s="6"/>
      <c r="F684" s="6"/>
      <c r="G684" s="6"/>
      <c r="H684" s="85"/>
      <c r="I684" s="85"/>
      <c r="J684" s="85"/>
      <c r="K684" s="85"/>
      <c r="L684" s="85"/>
      <c r="M684" s="85"/>
      <c r="N684" s="85"/>
    </row>
    <row r="685" spans="1:14" x14ac:dyDescent="0.2">
      <c r="A685" s="6"/>
      <c r="B685" s="75"/>
      <c r="C685" s="75"/>
      <c r="D685" s="6"/>
      <c r="E685" s="6"/>
      <c r="F685" s="6"/>
      <c r="G685" s="6"/>
      <c r="H685" s="85"/>
      <c r="I685" s="85"/>
      <c r="J685" s="85"/>
      <c r="K685" s="85"/>
      <c r="L685" s="85"/>
      <c r="M685" s="85"/>
      <c r="N685" s="85"/>
    </row>
    <row r="686" spans="1:14" x14ac:dyDescent="0.2">
      <c r="A686" s="6"/>
      <c r="B686" s="75"/>
      <c r="C686" s="75"/>
      <c r="D686" s="6"/>
      <c r="E686" s="6"/>
      <c r="F686" s="6"/>
      <c r="G686" s="6"/>
      <c r="H686" s="85"/>
      <c r="I686" s="85"/>
      <c r="J686" s="85"/>
      <c r="K686" s="85"/>
      <c r="L686" s="85"/>
      <c r="M686" s="85"/>
      <c r="N686" s="85"/>
    </row>
    <row r="687" spans="1:14" x14ac:dyDescent="0.2">
      <c r="A687" s="92"/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5"/>
    </row>
    <row r="688" spans="1:14" x14ac:dyDescent="0.2">
      <c r="A688" s="6"/>
      <c r="B688" s="6"/>
      <c r="C688" s="6"/>
      <c r="D688" s="6"/>
      <c r="E688" s="6"/>
      <c r="F688" s="6"/>
      <c r="G688" s="6"/>
      <c r="H688" s="85"/>
      <c r="I688" s="85"/>
      <c r="J688" s="85"/>
      <c r="K688" s="85"/>
      <c r="L688" s="85"/>
      <c r="M688" s="85"/>
      <c r="N688" s="85"/>
    </row>
    <row r="689" spans="1:14" x14ac:dyDescent="0.2">
      <c r="A689" s="6"/>
      <c r="B689" s="75"/>
      <c r="C689" s="75"/>
      <c r="D689" s="6"/>
      <c r="E689" s="6"/>
      <c r="F689" s="6"/>
      <c r="G689" s="6"/>
      <c r="H689" s="85"/>
      <c r="I689" s="85"/>
      <c r="J689" s="85"/>
      <c r="K689" s="85"/>
      <c r="L689" s="85"/>
      <c r="M689" s="85"/>
      <c r="N689" s="85"/>
    </row>
    <row r="690" spans="1:14" x14ac:dyDescent="0.2">
      <c r="A690" s="6"/>
      <c r="B690" s="75"/>
      <c r="C690" s="75"/>
      <c r="D690" s="6"/>
      <c r="E690" s="6"/>
      <c r="F690" s="6"/>
      <c r="G690" s="6"/>
      <c r="H690" s="85"/>
      <c r="I690" s="85"/>
      <c r="J690" s="85"/>
      <c r="K690" s="85"/>
      <c r="L690" s="85"/>
      <c r="M690" s="85"/>
      <c r="N690" s="85"/>
    </row>
    <row r="691" spans="1:14" x14ac:dyDescent="0.2">
      <c r="A691" s="6"/>
      <c r="B691" s="75"/>
      <c r="C691" s="75"/>
      <c r="D691" s="6"/>
      <c r="E691" s="6"/>
      <c r="F691" s="6"/>
      <c r="G691" s="6"/>
      <c r="H691" s="85"/>
      <c r="I691" s="85"/>
      <c r="J691" s="85"/>
      <c r="K691" s="85"/>
      <c r="L691" s="85"/>
      <c r="M691" s="85"/>
      <c r="N691" s="85"/>
    </row>
    <row r="692" spans="1:14" x14ac:dyDescent="0.2">
      <c r="A692" s="91"/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</row>
    <row r="693" spans="1:14" x14ac:dyDescent="0.2">
      <c r="A693" s="91"/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</row>
    <row r="694" spans="1:14" x14ac:dyDescent="0.2">
      <c r="A694" s="91"/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</row>
    <row r="695" spans="1:14" x14ac:dyDescent="0.2">
      <c r="A695" s="91"/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</row>
    <row r="696" spans="1:14" x14ac:dyDescent="0.2">
      <c r="A696" s="91"/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</row>
    <row r="697" spans="1:14" x14ac:dyDescent="0.2">
      <c r="A697" s="91"/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</row>
    <row r="698" spans="1:14" x14ac:dyDescent="0.2">
      <c r="A698" s="91"/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</row>
    <row r="699" spans="1:14" x14ac:dyDescent="0.2">
      <c r="A699" s="91"/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</row>
    <row r="700" spans="1:14" x14ac:dyDescent="0.2">
      <c r="A700" s="92"/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</row>
    <row r="701" spans="1:14" x14ac:dyDescent="0.2">
      <c r="A701" s="92"/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</row>
    <row r="702" spans="1:14" x14ac:dyDescent="0.2">
      <c r="A702" s="75"/>
      <c r="B702" s="6"/>
      <c r="C702" s="6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85"/>
    </row>
    <row r="703" spans="1:14" x14ac:dyDescent="0.2">
      <c r="A703" s="75"/>
      <c r="B703" s="6"/>
      <c r="C703" s="6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85"/>
    </row>
    <row r="704" spans="1:14" ht="15.75" customHeight="1" x14ac:dyDescent="0.2">
      <c r="A704" s="75"/>
      <c r="B704" s="6"/>
      <c r="C704" s="6"/>
      <c r="D704" s="112"/>
      <c r="E704" s="112"/>
      <c r="F704" s="112"/>
      <c r="G704" s="87"/>
      <c r="H704" s="87"/>
      <c r="I704" s="87"/>
      <c r="J704" s="87"/>
      <c r="K704" s="75"/>
      <c r="L704" s="75"/>
      <c r="M704" s="75"/>
      <c r="N704" s="85"/>
    </row>
    <row r="705" spans="1:14" ht="16.5" customHeight="1" x14ac:dyDescent="0.2">
      <c r="A705" s="75"/>
      <c r="B705" s="6"/>
      <c r="C705" s="6"/>
      <c r="D705" s="6"/>
      <c r="E705" s="112"/>
      <c r="F705" s="112"/>
      <c r="G705" s="75"/>
      <c r="H705" s="87"/>
      <c r="I705" s="87"/>
      <c r="J705" s="87"/>
      <c r="K705" s="75"/>
      <c r="L705" s="75"/>
      <c r="M705" s="75"/>
      <c r="N705" s="85"/>
    </row>
    <row r="706" spans="1:14" x14ac:dyDescent="0.2">
      <c r="A706" s="75"/>
      <c r="B706" s="75"/>
      <c r="C706" s="75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85"/>
    </row>
    <row r="707" spans="1:14" x14ac:dyDescent="0.2">
      <c r="A707" s="75"/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85"/>
    </row>
    <row r="708" spans="1:14" x14ac:dyDescent="0.2">
      <c r="A708" s="92"/>
      <c r="B708" s="85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85"/>
    </row>
    <row r="709" spans="1:14" x14ac:dyDescent="0.2">
      <c r="A709" s="6"/>
      <c r="B709" s="75"/>
      <c r="C709" s="75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85"/>
    </row>
    <row r="710" spans="1:14" x14ac:dyDescent="0.2">
      <c r="A710" s="6"/>
      <c r="B710" s="75"/>
      <c r="C710" s="75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85"/>
    </row>
    <row r="711" spans="1:14" x14ac:dyDescent="0.2">
      <c r="A711" s="6"/>
      <c r="B711" s="75"/>
      <c r="C711" s="75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85"/>
    </row>
    <row r="712" spans="1:14" x14ac:dyDescent="0.2">
      <c r="A712" s="92"/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85"/>
    </row>
    <row r="713" spans="1:14" x14ac:dyDescent="0.2">
      <c r="A713" s="6"/>
      <c r="B713" s="75"/>
      <c r="C713" s="75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85"/>
    </row>
    <row r="714" spans="1:14" x14ac:dyDescent="0.2">
      <c r="A714" s="6"/>
      <c r="B714" s="75"/>
      <c r="C714" s="75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85"/>
    </row>
    <row r="715" spans="1:14" x14ac:dyDescent="0.2">
      <c r="A715" s="6"/>
      <c r="B715" s="75"/>
      <c r="C715" s="75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85"/>
    </row>
    <row r="716" spans="1:14" x14ac:dyDescent="0.2">
      <c r="A716" s="92"/>
      <c r="B716" s="85"/>
      <c r="C716" s="85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85"/>
    </row>
    <row r="717" spans="1:14" x14ac:dyDescent="0.2">
      <c r="A717" s="6"/>
      <c r="B717" s="75"/>
      <c r="C717" s="75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85"/>
    </row>
    <row r="718" spans="1:14" x14ac:dyDescent="0.2">
      <c r="A718" s="6"/>
      <c r="B718" s="75"/>
      <c r="C718" s="75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85"/>
    </row>
    <row r="719" spans="1:14" x14ac:dyDescent="0.2">
      <c r="A719" s="6"/>
      <c r="B719" s="75"/>
      <c r="C719" s="75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85"/>
    </row>
    <row r="720" spans="1:14" x14ac:dyDescent="0.2">
      <c r="A720" s="92"/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</row>
    <row r="721" spans="1:14" x14ac:dyDescent="0.2">
      <c r="A721" s="85"/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85"/>
    </row>
    <row r="722" spans="1:14" x14ac:dyDescent="0.2">
      <c r="A722" s="85"/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</row>
    <row r="723" spans="1:14" x14ac:dyDescent="0.2">
      <c r="A723" s="85"/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</row>
    <row r="724" spans="1:14" x14ac:dyDescent="0.2">
      <c r="A724" s="85"/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</row>
    <row r="725" spans="1:14" x14ac:dyDescent="0.2">
      <c r="A725" s="85"/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</row>
    <row r="726" spans="1:14" x14ac:dyDescent="0.2">
      <c r="A726" s="85"/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</row>
    <row r="727" spans="1:14" x14ac:dyDescent="0.2">
      <c r="A727" s="85"/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</row>
    <row r="728" spans="1:14" x14ac:dyDescent="0.2">
      <c r="A728" s="85"/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</row>
    <row r="729" spans="1:14" x14ac:dyDescent="0.2">
      <c r="A729" s="85"/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</row>
    <row r="730" spans="1:14" x14ac:dyDescent="0.2">
      <c r="A730" s="85"/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</row>
    <row r="731" spans="1:14" x14ac:dyDescent="0.2">
      <c r="A731" s="85"/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</row>
    <row r="732" spans="1:14" x14ac:dyDescent="0.2">
      <c r="A732" s="85"/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</row>
    <row r="733" spans="1:14" x14ac:dyDescent="0.2">
      <c r="A733" s="85"/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</row>
    <row r="734" spans="1:14" x14ac:dyDescent="0.2">
      <c r="A734" s="85"/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</row>
    <row r="735" spans="1:14" x14ac:dyDescent="0.2">
      <c r="A735" s="85"/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</row>
    <row r="736" spans="1:14" x14ac:dyDescent="0.2">
      <c r="A736" s="85"/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</row>
    <row r="737" spans="1:14" x14ac:dyDescent="0.2">
      <c r="A737" s="85"/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</row>
    <row r="738" spans="1:14" x14ac:dyDescent="0.2">
      <c r="A738" s="85"/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</row>
    <row r="739" spans="1:14" x14ac:dyDescent="0.2">
      <c r="A739" s="85"/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</row>
    <row r="740" spans="1:14" x14ac:dyDescent="0.2">
      <c r="A740" s="85"/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</row>
    <row r="741" spans="1:14" x14ac:dyDescent="0.2">
      <c r="A741" s="85"/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</row>
    <row r="742" spans="1:14" x14ac:dyDescent="0.2">
      <c r="A742" s="85"/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</row>
    <row r="743" spans="1:14" x14ac:dyDescent="0.2">
      <c r="A743" s="85"/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</row>
    <row r="744" spans="1:14" x14ac:dyDescent="0.2">
      <c r="A744" s="85"/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</row>
    <row r="745" spans="1:14" x14ac:dyDescent="0.2">
      <c r="A745" s="85"/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</row>
    <row r="746" spans="1:14" x14ac:dyDescent="0.2">
      <c r="A746" s="85"/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</row>
    <row r="747" spans="1:14" x14ac:dyDescent="0.2">
      <c r="A747" s="85"/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</row>
    <row r="748" spans="1:14" x14ac:dyDescent="0.2">
      <c r="A748" s="85"/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</row>
    <row r="749" spans="1:14" x14ac:dyDescent="0.2">
      <c r="A749" s="85"/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</row>
    <row r="750" spans="1:14" x14ac:dyDescent="0.2">
      <c r="A750" s="85"/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</row>
    <row r="751" spans="1:14" x14ac:dyDescent="0.2">
      <c r="A751" s="85"/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</row>
    <row r="752" spans="1:14" x14ac:dyDescent="0.2">
      <c r="A752" s="85"/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</row>
    <row r="753" spans="1:14" x14ac:dyDescent="0.2">
      <c r="A753" s="85"/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</row>
    <row r="754" spans="1:14" x14ac:dyDescent="0.2">
      <c r="A754" s="85"/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</row>
    <row r="755" spans="1:14" x14ac:dyDescent="0.2">
      <c r="A755" s="85"/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</row>
    <row r="756" spans="1:14" x14ac:dyDescent="0.2">
      <c r="A756" s="85"/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</row>
    <row r="757" spans="1:14" x14ac:dyDescent="0.2">
      <c r="A757" s="85"/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</row>
    <row r="758" spans="1:14" x14ac:dyDescent="0.2">
      <c r="A758" s="85"/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</row>
    <row r="759" spans="1:14" x14ac:dyDescent="0.2">
      <c r="A759" s="85"/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</row>
    <row r="760" spans="1:14" x14ac:dyDescent="0.2">
      <c r="A760" s="85"/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</row>
    <row r="761" spans="1:14" x14ac:dyDescent="0.2">
      <c r="A761" s="85"/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</row>
    <row r="762" spans="1:14" x14ac:dyDescent="0.2">
      <c r="A762" s="85"/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</row>
    <row r="763" spans="1:14" x14ac:dyDescent="0.2">
      <c r="A763" s="85"/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</row>
    <row r="764" spans="1:14" x14ac:dyDescent="0.2">
      <c r="A764" s="85"/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</row>
    <row r="765" spans="1:14" x14ac:dyDescent="0.2">
      <c r="A765" s="85"/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</row>
    <row r="766" spans="1:14" x14ac:dyDescent="0.2">
      <c r="A766" s="85"/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</row>
    <row r="767" spans="1:14" x14ac:dyDescent="0.2">
      <c r="A767" s="85"/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</row>
    <row r="768" spans="1:14" x14ac:dyDescent="0.2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</row>
    <row r="769" spans="1:14" x14ac:dyDescent="0.2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</row>
  </sheetData>
  <mergeCells count="33">
    <mergeCell ref="I8:I9"/>
    <mergeCell ref="J8:J9"/>
    <mergeCell ref="K8:L8"/>
    <mergeCell ref="A10:H10"/>
    <mergeCell ref="C6:C9"/>
    <mergeCell ref="D8:D9"/>
    <mergeCell ref="E8:E9"/>
    <mergeCell ref="G8:G9"/>
    <mergeCell ref="H8:H9"/>
    <mergeCell ref="K7:L7"/>
    <mergeCell ref="A20:G20"/>
    <mergeCell ref="M8:N8"/>
    <mergeCell ref="A15:H15"/>
    <mergeCell ref="A6:A9"/>
    <mergeCell ref="B6:B9"/>
    <mergeCell ref="D6:E7"/>
    <mergeCell ref="G6:H7"/>
    <mergeCell ref="I6:J7"/>
    <mergeCell ref="K6:P6"/>
    <mergeCell ref="F6:F9"/>
    <mergeCell ref="M7:N7"/>
    <mergeCell ref="O7:P7"/>
    <mergeCell ref="U6:U9"/>
    <mergeCell ref="O8:P8"/>
    <mergeCell ref="Q8:R8"/>
    <mergeCell ref="V6:V9"/>
    <mergeCell ref="X6:X9"/>
    <mergeCell ref="Y6:Y9"/>
    <mergeCell ref="S8:T8"/>
    <mergeCell ref="Q6:T6"/>
    <mergeCell ref="W6:W9"/>
    <mergeCell ref="Q7:R7"/>
    <mergeCell ref="S7:T7"/>
  </mergeCells>
  <phoneticPr fontId="0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workbookViewId="0">
      <selection activeCell="H89" sqref="H89"/>
    </sheetView>
  </sheetViews>
  <sheetFormatPr defaultRowHeight="14.25" x14ac:dyDescent="0.2"/>
  <cols>
    <col min="1" max="1" width="3.28515625" style="3" customWidth="1"/>
    <col min="2" max="2" width="15.28515625" style="3" customWidth="1"/>
    <col min="3" max="3" width="7.28515625" style="3" customWidth="1"/>
    <col min="4" max="4" width="10.7109375" style="3" customWidth="1"/>
    <col min="5" max="5" width="7" style="3" customWidth="1"/>
    <col min="6" max="6" width="7.42578125" style="3" customWidth="1"/>
    <col min="7" max="7" width="8.140625" style="3" customWidth="1"/>
    <col min="8" max="8" width="12" style="3" customWidth="1"/>
    <col min="9" max="9" width="6.5703125" style="3" customWidth="1"/>
    <col min="10" max="10" width="7" style="3" customWidth="1"/>
    <col min="11" max="11" width="6" style="3" customWidth="1"/>
    <col min="12" max="12" width="6.28515625" style="3" customWidth="1"/>
    <col min="13" max="13" width="6.140625" style="3" customWidth="1"/>
    <col min="14" max="15" width="6.42578125" style="3" customWidth="1"/>
    <col min="16" max="16" width="7.42578125" style="3" customWidth="1"/>
    <col min="17" max="16384" width="9.140625" style="3"/>
  </cols>
  <sheetData>
    <row r="1" spans="1:17" ht="0.75" customHeight="1" x14ac:dyDescent="0.2"/>
    <row r="2" spans="1:17" ht="19.5" customHeight="1" x14ac:dyDescent="0.2">
      <c r="A2" s="1"/>
      <c r="B2" s="1"/>
      <c r="C2" s="22" t="s">
        <v>217</v>
      </c>
      <c r="D2" s="1"/>
      <c r="E2" s="1"/>
      <c r="F2" s="1"/>
      <c r="G2" s="1"/>
      <c r="H2" s="1"/>
      <c r="K2" s="1"/>
      <c r="L2" s="1"/>
      <c r="M2" s="1"/>
      <c r="N2" s="1"/>
      <c r="Q2" s="1"/>
    </row>
    <row r="3" spans="1:17" ht="9.75" customHeight="1" x14ac:dyDescent="0.2"/>
    <row r="4" spans="1:17" ht="15" x14ac:dyDescent="0.2">
      <c r="A4" s="2" t="s">
        <v>206</v>
      </c>
    </row>
    <row r="5" spans="1:17" ht="7.5" customHeight="1" x14ac:dyDescent="0.2"/>
    <row r="6" spans="1:17" s="4" customFormat="1" ht="63.75" customHeight="1" x14ac:dyDescent="0.2">
      <c r="A6" s="152" t="s">
        <v>12</v>
      </c>
      <c r="B6" s="152" t="s">
        <v>0</v>
      </c>
      <c r="C6" s="152" t="s">
        <v>211</v>
      </c>
      <c r="D6" s="152"/>
      <c r="E6" s="152"/>
      <c r="F6" s="11" t="s">
        <v>219</v>
      </c>
      <c r="G6" s="11" t="s">
        <v>242</v>
      </c>
      <c r="H6" s="11" t="s">
        <v>136</v>
      </c>
      <c r="I6" s="152" t="s">
        <v>215</v>
      </c>
      <c r="J6" s="152"/>
      <c r="K6" s="152" t="s">
        <v>90</v>
      </c>
      <c r="L6" s="152"/>
      <c r="M6" s="152" t="s">
        <v>212</v>
      </c>
      <c r="N6" s="152"/>
      <c r="O6" s="152" t="s">
        <v>27</v>
      </c>
      <c r="P6" s="152"/>
      <c r="Q6" s="153" t="s">
        <v>30</v>
      </c>
    </row>
    <row r="7" spans="1:17" s="4" customFormat="1" ht="29.25" customHeight="1" x14ac:dyDescent="0.2">
      <c r="A7" s="152"/>
      <c r="B7" s="152"/>
      <c r="C7" s="12" t="s">
        <v>67</v>
      </c>
      <c r="D7" s="12" t="s">
        <v>44</v>
      </c>
      <c r="E7" s="12" t="s">
        <v>6</v>
      </c>
      <c r="F7" s="12" t="s">
        <v>6</v>
      </c>
      <c r="G7" s="12" t="s">
        <v>59</v>
      </c>
      <c r="H7" s="12" t="s">
        <v>61</v>
      </c>
      <c r="I7" s="12" t="s">
        <v>89</v>
      </c>
      <c r="J7" s="12" t="s">
        <v>6</v>
      </c>
      <c r="K7" s="12" t="s">
        <v>15</v>
      </c>
      <c r="L7" s="13" t="s">
        <v>6</v>
      </c>
      <c r="M7" s="13" t="s">
        <v>63</v>
      </c>
      <c r="N7" s="13" t="s">
        <v>6</v>
      </c>
      <c r="O7" s="12" t="s">
        <v>15</v>
      </c>
      <c r="P7" s="12" t="s">
        <v>6</v>
      </c>
      <c r="Q7" s="153"/>
    </row>
    <row r="8" spans="1:17" s="4" customFormat="1" ht="12.75" x14ac:dyDescent="0.2">
      <c r="A8" s="5" t="s">
        <v>144</v>
      </c>
      <c r="B8" s="7"/>
      <c r="C8" s="7"/>
      <c r="D8" s="7"/>
      <c r="E8" s="7"/>
      <c r="F8" s="7"/>
      <c r="G8" s="7"/>
      <c r="H8" s="7"/>
      <c r="I8" s="7"/>
      <c r="J8" s="7"/>
      <c r="K8" s="7"/>
      <c r="L8" s="20"/>
      <c r="M8" s="20"/>
      <c r="N8" s="20"/>
      <c r="O8" s="7"/>
      <c r="P8" s="7"/>
      <c r="Q8" s="148"/>
    </row>
    <row r="9" spans="1:17" s="4" customFormat="1" ht="12.75" x14ac:dyDescent="0.2">
      <c r="A9" s="5" t="s">
        <v>234</v>
      </c>
      <c r="Q9" s="144"/>
    </row>
    <row r="10" spans="1:17" s="4" customFormat="1" ht="12.75" x14ac:dyDescent="0.2">
      <c r="A10" s="12">
        <v>1</v>
      </c>
      <c r="B10" s="11" t="s">
        <v>243</v>
      </c>
      <c r="C10" s="14">
        <v>5.79</v>
      </c>
      <c r="D10" s="12">
        <v>100</v>
      </c>
      <c r="E10" s="12">
        <f>5*2</f>
        <v>10</v>
      </c>
      <c r="F10" s="12">
        <v>9</v>
      </c>
      <c r="G10" s="16">
        <v>78</v>
      </c>
      <c r="H10" s="12">
        <v>82</v>
      </c>
      <c r="I10" s="12">
        <v>807</v>
      </c>
      <c r="J10" s="12">
        <v>9</v>
      </c>
      <c r="K10" s="17">
        <v>15.6</v>
      </c>
      <c r="L10" s="12">
        <v>8</v>
      </c>
      <c r="M10" s="17">
        <v>50.5</v>
      </c>
      <c r="N10" s="16">
        <v>9</v>
      </c>
      <c r="O10" s="17">
        <v>61</v>
      </c>
      <c r="P10" s="12">
        <v>5</v>
      </c>
      <c r="Q10" s="131">
        <f>E10+J10+L10+N10+P10</f>
        <v>41</v>
      </c>
    </row>
    <row r="11" spans="1:17" s="4" customFormat="1" ht="12.75" x14ac:dyDescent="0.2">
      <c r="A11" s="12">
        <v>2</v>
      </c>
      <c r="B11" s="11" t="s">
        <v>145</v>
      </c>
      <c r="C11" s="14">
        <v>4.79</v>
      </c>
      <c r="D11" s="16">
        <f>(C11*100)/C10</f>
        <v>82.72884283246978</v>
      </c>
      <c r="E11" s="12">
        <f>3*2</f>
        <v>6</v>
      </c>
      <c r="F11" s="12">
        <v>9</v>
      </c>
      <c r="G11" s="12">
        <v>74</v>
      </c>
      <c r="H11" s="12">
        <v>82</v>
      </c>
      <c r="I11" s="12">
        <v>795</v>
      </c>
      <c r="J11" s="12">
        <v>9</v>
      </c>
      <c r="K11" s="17">
        <v>18.3</v>
      </c>
      <c r="L11" s="12">
        <v>9</v>
      </c>
      <c r="M11" s="12">
        <v>52.49</v>
      </c>
      <c r="N11" s="12">
        <v>9</v>
      </c>
      <c r="O11" s="12">
        <v>59.5</v>
      </c>
      <c r="P11" s="12">
        <v>4</v>
      </c>
      <c r="Q11" s="131">
        <f>E11+J11+L11+N11+P11</f>
        <v>37</v>
      </c>
    </row>
    <row r="12" spans="1:17" s="4" customFormat="1" ht="12.75" x14ac:dyDescent="0.2">
      <c r="A12" s="7"/>
      <c r="B12" s="8"/>
      <c r="C12" s="10"/>
      <c r="D12" s="9"/>
      <c r="E12" s="7"/>
      <c r="F12" s="7"/>
      <c r="G12" s="7"/>
      <c r="H12" s="7"/>
      <c r="I12" s="7"/>
      <c r="J12" s="7"/>
      <c r="K12" s="21"/>
      <c r="L12" s="7"/>
      <c r="M12" s="7"/>
      <c r="N12" s="7"/>
      <c r="O12" s="7"/>
      <c r="P12" s="7"/>
      <c r="Q12" s="149"/>
    </row>
    <row r="13" spans="1:17" s="4" customFormat="1" ht="12.75" x14ac:dyDescent="0.2">
      <c r="A13" s="5" t="s">
        <v>216</v>
      </c>
      <c r="Q13" s="144"/>
    </row>
    <row r="14" spans="1:17" s="4" customFormat="1" ht="12.75" x14ac:dyDescent="0.2">
      <c r="A14" s="12">
        <v>1</v>
      </c>
      <c r="B14" s="11" t="s">
        <v>243</v>
      </c>
      <c r="C14" s="14">
        <v>4.46</v>
      </c>
      <c r="D14" s="12">
        <v>100</v>
      </c>
      <c r="E14" s="12">
        <f>5*2</f>
        <v>10</v>
      </c>
      <c r="F14" s="12">
        <v>9</v>
      </c>
      <c r="G14" s="16">
        <v>101</v>
      </c>
      <c r="H14" s="12">
        <v>85</v>
      </c>
      <c r="I14" s="12">
        <v>795</v>
      </c>
      <c r="J14" s="12">
        <v>9</v>
      </c>
      <c r="K14" s="17">
        <v>15.8</v>
      </c>
      <c r="L14" s="12">
        <v>8</v>
      </c>
      <c r="M14" s="17">
        <v>50</v>
      </c>
      <c r="N14" s="16">
        <v>8</v>
      </c>
      <c r="O14" s="12">
        <v>60.7</v>
      </c>
      <c r="P14" s="12">
        <v>5</v>
      </c>
      <c r="Q14" s="131">
        <f>E14+J14+L14+N14+P14</f>
        <v>40</v>
      </c>
    </row>
    <row r="15" spans="1:17" s="4" customFormat="1" ht="12.75" x14ac:dyDescent="0.2">
      <c r="A15" s="12">
        <v>2</v>
      </c>
      <c r="B15" s="11" t="s">
        <v>145</v>
      </c>
      <c r="C15" s="14">
        <v>3.29</v>
      </c>
      <c r="D15" s="16">
        <f>(C15*100)/C14</f>
        <v>73.766816143497763</v>
      </c>
      <c r="E15" s="12">
        <f>2*2</f>
        <v>4</v>
      </c>
      <c r="F15" s="12">
        <v>9</v>
      </c>
      <c r="G15" s="12">
        <v>101</v>
      </c>
      <c r="H15" s="12">
        <v>81</v>
      </c>
      <c r="I15" s="12">
        <v>790</v>
      </c>
      <c r="J15" s="12">
        <v>9</v>
      </c>
      <c r="K15" s="17">
        <v>19.399999999999999</v>
      </c>
      <c r="L15" s="12">
        <v>9</v>
      </c>
      <c r="M15" s="12">
        <v>53.62</v>
      </c>
      <c r="N15" s="12">
        <v>9</v>
      </c>
      <c r="O15" s="12">
        <v>59.1</v>
      </c>
      <c r="P15" s="12">
        <v>4</v>
      </c>
      <c r="Q15" s="131">
        <f>E15+J15+L15+N15+P15</f>
        <v>35</v>
      </c>
    </row>
    <row r="16" spans="1:17" s="4" customFormat="1" ht="12.75" x14ac:dyDescent="0.2">
      <c r="A16" s="7"/>
      <c r="B16" s="8"/>
      <c r="C16" s="10"/>
      <c r="D16" s="9"/>
      <c r="E16" s="7"/>
      <c r="F16" s="7"/>
      <c r="G16" s="7"/>
      <c r="H16" s="7"/>
      <c r="I16" s="7"/>
      <c r="J16" s="7"/>
      <c r="K16" s="21"/>
      <c r="L16" s="7"/>
      <c r="M16" s="7"/>
      <c r="N16" s="7"/>
      <c r="O16" s="7"/>
      <c r="P16" s="7"/>
      <c r="Q16" s="149"/>
    </row>
    <row r="17" spans="1:17" s="4" customFormat="1" ht="12.75" x14ac:dyDescent="0.2">
      <c r="A17" s="5" t="s">
        <v>115</v>
      </c>
      <c r="Q17" s="144"/>
    </row>
    <row r="18" spans="1:17" s="4" customFormat="1" ht="12.75" x14ac:dyDescent="0.2">
      <c r="A18" s="12">
        <v>1</v>
      </c>
      <c r="B18" s="11" t="s">
        <v>243</v>
      </c>
      <c r="C18" s="14">
        <v>2.89</v>
      </c>
      <c r="D18" s="12">
        <v>100</v>
      </c>
      <c r="E18" s="12">
        <f>5*2</f>
        <v>10</v>
      </c>
      <c r="F18" s="12">
        <f>(7+9)/2</f>
        <v>8</v>
      </c>
      <c r="G18" s="16">
        <v>55</v>
      </c>
      <c r="H18" s="12">
        <v>79</v>
      </c>
      <c r="I18" s="12">
        <v>705</v>
      </c>
      <c r="J18" s="12">
        <v>9</v>
      </c>
      <c r="K18" s="17">
        <v>16.600000000000001</v>
      </c>
      <c r="L18" s="12">
        <v>8</v>
      </c>
      <c r="M18" s="17">
        <v>38.799999999999997</v>
      </c>
      <c r="N18" s="16">
        <v>4</v>
      </c>
      <c r="O18" s="12">
        <v>60.5</v>
      </c>
      <c r="P18" s="12">
        <v>5</v>
      </c>
      <c r="Q18" s="131">
        <f>E18+J18+L18+N18+P18</f>
        <v>36</v>
      </c>
    </row>
    <row r="19" spans="1:17" s="4" customFormat="1" ht="12.75" x14ac:dyDescent="0.2">
      <c r="A19" s="12">
        <v>2</v>
      </c>
      <c r="B19" s="11" t="s">
        <v>145</v>
      </c>
      <c r="C19" s="14">
        <v>2.25</v>
      </c>
      <c r="D19" s="16">
        <f>(C19*100)/C18</f>
        <v>77.854671280276818</v>
      </c>
      <c r="E19" s="12">
        <f>3*2</f>
        <v>6</v>
      </c>
      <c r="F19" s="12">
        <v>7</v>
      </c>
      <c r="G19" s="12">
        <v>61</v>
      </c>
      <c r="H19" s="12">
        <v>76</v>
      </c>
      <c r="I19" s="12">
        <v>684</v>
      </c>
      <c r="J19" s="12">
        <v>8</v>
      </c>
      <c r="K19" s="17">
        <v>17.8</v>
      </c>
      <c r="L19" s="12">
        <v>9</v>
      </c>
      <c r="M19" s="17">
        <v>42</v>
      </c>
      <c r="N19" s="12">
        <v>5</v>
      </c>
      <c r="O19" s="12">
        <v>59.8</v>
      </c>
      <c r="P19" s="12">
        <v>4</v>
      </c>
      <c r="Q19" s="131">
        <f>E19+J19+L19+N19+P19</f>
        <v>32</v>
      </c>
    </row>
    <row r="20" spans="1:17" s="4" customFormat="1" ht="12.75" x14ac:dyDescent="0.2">
      <c r="A20" s="7"/>
      <c r="B20" s="8"/>
      <c r="C20" s="10"/>
      <c r="D20" s="9"/>
      <c r="E20" s="7"/>
      <c r="F20" s="7"/>
      <c r="G20" s="7"/>
      <c r="H20" s="7"/>
      <c r="I20" s="7"/>
      <c r="J20" s="7"/>
      <c r="K20" s="21"/>
      <c r="L20" s="7"/>
      <c r="M20" s="7"/>
      <c r="N20" s="7"/>
      <c r="O20" s="7"/>
      <c r="P20" s="7"/>
      <c r="Q20" s="149"/>
    </row>
    <row r="21" spans="1:17" s="4" customFormat="1" ht="12.75" x14ac:dyDescent="0.2">
      <c r="A21" s="5" t="s">
        <v>29</v>
      </c>
      <c r="Q21" s="144"/>
    </row>
    <row r="22" spans="1:17" s="4" customFormat="1" ht="12.75" x14ac:dyDescent="0.2">
      <c r="A22" s="12">
        <v>1</v>
      </c>
      <c r="B22" s="11" t="s">
        <v>243</v>
      </c>
      <c r="C22" s="14">
        <f>(C10+C14+C18)/3</f>
        <v>4.38</v>
      </c>
      <c r="D22" s="12">
        <v>100</v>
      </c>
      <c r="E22" s="12">
        <f>5*2</f>
        <v>10</v>
      </c>
      <c r="F22" s="16">
        <f t="shared" ref="F22:I23" si="0">(F10+F14+F18)/3</f>
        <v>8.6666666666666661</v>
      </c>
      <c r="G22" s="16">
        <f t="shared" si="0"/>
        <v>78</v>
      </c>
      <c r="H22" s="16">
        <f t="shared" si="0"/>
        <v>82</v>
      </c>
      <c r="I22" s="16">
        <f t="shared" si="0"/>
        <v>769</v>
      </c>
      <c r="J22" s="12">
        <v>9</v>
      </c>
      <c r="K22" s="17">
        <f t="shared" ref="K22:M23" si="1">(K10+K14+K18)/3</f>
        <v>16</v>
      </c>
      <c r="L22" s="12">
        <v>8</v>
      </c>
      <c r="M22" s="17">
        <f t="shared" si="1"/>
        <v>46.433333333333337</v>
      </c>
      <c r="N22" s="16">
        <v>7</v>
      </c>
      <c r="O22" s="17">
        <f>(O10+O14+O18)/3</f>
        <v>60.733333333333327</v>
      </c>
      <c r="P22" s="12">
        <v>5</v>
      </c>
      <c r="Q22" s="131">
        <f>E22+J22+L22+N22+P22</f>
        <v>39</v>
      </c>
    </row>
    <row r="23" spans="1:17" s="4" customFormat="1" ht="12.75" x14ac:dyDescent="0.2">
      <c r="A23" s="12">
        <v>2</v>
      </c>
      <c r="B23" s="11" t="s">
        <v>145</v>
      </c>
      <c r="C23" s="14">
        <f>(C11+C15+C19)/3</f>
        <v>3.4433333333333334</v>
      </c>
      <c r="D23" s="16">
        <f>(C23*100)/C22</f>
        <v>78.614916286149167</v>
      </c>
      <c r="E23" s="12">
        <f>3*2</f>
        <v>6</v>
      </c>
      <c r="F23" s="16">
        <f t="shared" si="0"/>
        <v>8.3333333333333339</v>
      </c>
      <c r="G23" s="16">
        <f t="shared" si="0"/>
        <v>78.666666666666671</v>
      </c>
      <c r="H23" s="16">
        <f t="shared" si="0"/>
        <v>79.666666666666671</v>
      </c>
      <c r="I23" s="16">
        <f t="shared" si="0"/>
        <v>756.33333333333337</v>
      </c>
      <c r="J23" s="12">
        <v>9</v>
      </c>
      <c r="K23" s="17">
        <f>(K11+K15+K19)/3</f>
        <v>18.5</v>
      </c>
      <c r="L23" s="12">
        <v>9</v>
      </c>
      <c r="M23" s="17">
        <f t="shared" si="1"/>
        <v>49.370000000000005</v>
      </c>
      <c r="N23" s="12">
        <v>8</v>
      </c>
      <c r="O23" s="17">
        <f>(O11+O15+O19)/3</f>
        <v>59.466666666666661</v>
      </c>
      <c r="P23" s="12">
        <v>5</v>
      </c>
      <c r="Q23" s="131">
        <f>E23+J23+L23+N23+P23</f>
        <v>37</v>
      </c>
    </row>
    <row r="24" spans="1:17" s="4" customFormat="1" ht="12.75" x14ac:dyDescent="0.2">
      <c r="A24" s="7"/>
      <c r="B24" s="8"/>
      <c r="C24" s="10"/>
      <c r="D24" s="9"/>
      <c r="E24" s="7"/>
      <c r="F24" s="7"/>
      <c r="G24" s="7"/>
      <c r="H24" s="7"/>
      <c r="I24" s="7"/>
      <c r="J24" s="7"/>
      <c r="K24" s="21"/>
      <c r="L24" s="7"/>
      <c r="M24" s="7"/>
      <c r="N24" s="7"/>
      <c r="O24" s="7"/>
      <c r="P24" s="7"/>
      <c r="Q24" s="128"/>
    </row>
    <row r="25" spans="1:17" s="4" customFormat="1" ht="12.75" x14ac:dyDescent="0.2">
      <c r="A25" s="5" t="s">
        <v>146</v>
      </c>
      <c r="B25" s="8"/>
      <c r="C25" s="10"/>
      <c r="D25" s="9"/>
      <c r="E25" s="7"/>
      <c r="F25" s="7"/>
      <c r="G25" s="7"/>
      <c r="H25" s="7"/>
      <c r="I25" s="7"/>
      <c r="J25" s="7"/>
      <c r="K25" s="21"/>
      <c r="L25" s="7"/>
      <c r="M25" s="7"/>
      <c r="N25" s="7"/>
      <c r="O25" s="7"/>
      <c r="P25" s="7"/>
      <c r="Q25" s="128"/>
    </row>
    <row r="26" spans="1:17" s="4" customFormat="1" ht="12.75" x14ac:dyDescent="0.2">
      <c r="A26" s="5" t="s">
        <v>234</v>
      </c>
      <c r="Q26" s="127"/>
    </row>
    <row r="27" spans="1:17" s="4" customFormat="1" ht="12.75" x14ac:dyDescent="0.2">
      <c r="A27" s="12">
        <v>1</v>
      </c>
      <c r="B27" s="11" t="s">
        <v>244</v>
      </c>
      <c r="C27" s="14">
        <v>7.91</v>
      </c>
      <c r="D27" s="12">
        <v>100</v>
      </c>
      <c r="E27" s="12">
        <f>5*2</f>
        <v>10</v>
      </c>
      <c r="F27" s="12">
        <v>9</v>
      </c>
      <c r="G27" s="12">
        <v>70</v>
      </c>
      <c r="H27" s="12">
        <v>81</v>
      </c>
      <c r="I27" s="16">
        <v>686</v>
      </c>
      <c r="J27" s="16">
        <v>8</v>
      </c>
      <c r="K27" s="17">
        <v>13.2</v>
      </c>
      <c r="L27" s="12">
        <v>6</v>
      </c>
      <c r="M27" s="17">
        <v>55.78</v>
      </c>
      <c r="N27" s="16">
        <v>9</v>
      </c>
      <c r="O27" s="17">
        <v>61</v>
      </c>
      <c r="P27" s="16">
        <v>5</v>
      </c>
      <c r="Q27" s="131">
        <f>E27+J27+L27+N27+P27</f>
        <v>38</v>
      </c>
    </row>
    <row r="28" spans="1:17" s="4" customFormat="1" ht="12.75" x14ac:dyDescent="0.2">
      <c r="A28" s="12">
        <v>2</v>
      </c>
      <c r="B28" s="11" t="s">
        <v>147</v>
      </c>
      <c r="C28" s="12">
        <v>8.81</v>
      </c>
      <c r="D28" s="16">
        <f>(C28*100)/C27</f>
        <v>111.37800252844501</v>
      </c>
      <c r="E28" s="12">
        <f t="shared" ref="E28:E36" si="2">6*2</f>
        <v>12</v>
      </c>
      <c r="F28" s="12">
        <v>9</v>
      </c>
      <c r="G28" s="12">
        <v>69</v>
      </c>
      <c r="H28" s="12">
        <v>83</v>
      </c>
      <c r="I28" s="12">
        <v>688</v>
      </c>
      <c r="J28" s="12">
        <v>8</v>
      </c>
      <c r="K28" s="17">
        <v>12.5</v>
      </c>
      <c r="L28" s="12">
        <v>5</v>
      </c>
      <c r="M28" s="17">
        <v>56.09</v>
      </c>
      <c r="N28" s="12">
        <v>9</v>
      </c>
      <c r="O28" s="12">
        <v>61.5</v>
      </c>
      <c r="P28" s="12">
        <v>5</v>
      </c>
      <c r="Q28" s="131">
        <f t="shared" ref="Q28:Q36" si="3">E28+J28+L28+N28+P28</f>
        <v>39</v>
      </c>
    </row>
    <row r="29" spans="1:17" s="4" customFormat="1" ht="12.75" x14ac:dyDescent="0.2">
      <c r="A29" s="12">
        <v>3</v>
      </c>
      <c r="B29" s="11" t="s">
        <v>148</v>
      </c>
      <c r="C29" s="12">
        <v>8.6300000000000008</v>
      </c>
      <c r="D29" s="16">
        <f>(C29*100)/C27</f>
        <v>109.10240202275602</v>
      </c>
      <c r="E29" s="12">
        <f t="shared" si="2"/>
        <v>12</v>
      </c>
      <c r="F29" s="12">
        <v>9</v>
      </c>
      <c r="G29" s="12">
        <v>74</v>
      </c>
      <c r="H29" s="12">
        <v>83</v>
      </c>
      <c r="I29" s="12">
        <v>683</v>
      </c>
      <c r="J29" s="12">
        <v>8</v>
      </c>
      <c r="K29" s="17">
        <v>12.6</v>
      </c>
      <c r="L29" s="12">
        <v>5</v>
      </c>
      <c r="M29" s="17">
        <v>65.239999999999995</v>
      </c>
      <c r="N29" s="12">
        <v>9</v>
      </c>
      <c r="O29" s="17">
        <v>61</v>
      </c>
      <c r="P29" s="12">
        <v>5</v>
      </c>
      <c r="Q29" s="131">
        <f t="shared" si="3"/>
        <v>39</v>
      </c>
    </row>
    <row r="30" spans="1:17" s="4" customFormat="1" ht="12.75" x14ac:dyDescent="0.2">
      <c r="A30" s="12">
        <v>4</v>
      </c>
      <c r="B30" s="11" t="s">
        <v>149</v>
      </c>
      <c r="C30" s="12">
        <v>9.0299999999999994</v>
      </c>
      <c r="D30" s="16">
        <f>(C30*100)/C27</f>
        <v>114.15929203539821</v>
      </c>
      <c r="E30" s="12">
        <f t="shared" si="2"/>
        <v>12</v>
      </c>
      <c r="F30" s="12">
        <v>9</v>
      </c>
      <c r="G30" s="12">
        <v>66</v>
      </c>
      <c r="H30" s="12">
        <v>83</v>
      </c>
      <c r="I30" s="12">
        <v>685</v>
      </c>
      <c r="J30" s="12">
        <v>8</v>
      </c>
      <c r="K30" s="17">
        <v>12.6</v>
      </c>
      <c r="L30" s="12">
        <v>5</v>
      </c>
      <c r="M30" s="17">
        <v>62.52</v>
      </c>
      <c r="N30" s="12">
        <v>9</v>
      </c>
      <c r="O30" s="12">
        <v>61.7</v>
      </c>
      <c r="P30" s="12">
        <v>5</v>
      </c>
      <c r="Q30" s="131">
        <f t="shared" si="3"/>
        <v>39</v>
      </c>
    </row>
    <row r="31" spans="1:17" s="4" customFormat="1" ht="12.75" x14ac:dyDescent="0.2">
      <c r="A31" s="12">
        <v>5</v>
      </c>
      <c r="B31" s="11" t="s">
        <v>150</v>
      </c>
      <c r="C31" s="12">
        <v>8.65</v>
      </c>
      <c r="D31" s="16">
        <f>(C31*100)/C27</f>
        <v>109.35524652338812</v>
      </c>
      <c r="E31" s="12">
        <f t="shared" si="2"/>
        <v>12</v>
      </c>
      <c r="F31" s="12">
        <v>9</v>
      </c>
      <c r="G31" s="12">
        <v>71</v>
      </c>
      <c r="H31" s="12">
        <v>82</v>
      </c>
      <c r="I31" s="16">
        <v>697</v>
      </c>
      <c r="J31" s="16">
        <v>8</v>
      </c>
      <c r="K31" s="17">
        <v>13.4</v>
      </c>
      <c r="L31" s="12">
        <v>6</v>
      </c>
      <c r="M31" s="17">
        <v>62.77</v>
      </c>
      <c r="N31" s="12">
        <v>9</v>
      </c>
      <c r="O31" s="17">
        <v>61.2</v>
      </c>
      <c r="P31" s="16">
        <v>5</v>
      </c>
      <c r="Q31" s="131">
        <f t="shared" si="3"/>
        <v>40</v>
      </c>
    </row>
    <row r="32" spans="1:17" s="4" customFormat="1" ht="12.75" x14ac:dyDescent="0.2">
      <c r="A32" s="12">
        <v>6</v>
      </c>
      <c r="B32" s="11" t="s">
        <v>151</v>
      </c>
      <c r="C32" s="12">
        <v>8.68</v>
      </c>
      <c r="D32" s="16">
        <f>(C32*100)/C27</f>
        <v>109.73451327433628</v>
      </c>
      <c r="E32" s="12">
        <f t="shared" si="2"/>
        <v>12</v>
      </c>
      <c r="F32" s="12">
        <v>9</v>
      </c>
      <c r="G32" s="12">
        <v>69</v>
      </c>
      <c r="H32" s="12">
        <v>82</v>
      </c>
      <c r="I32" s="12">
        <v>684</v>
      </c>
      <c r="J32" s="12">
        <v>8</v>
      </c>
      <c r="K32" s="17">
        <v>12.6</v>
      </c>
      <c r="L32" s="12">
        <v>5</v>
      </c>
      <c r="M32" s="17">
        <v>58.97</v>
      </c>
      <c r="N32" s="12">
        <v>9</v>
      </c>
      <c r="O32" s="12">
        <v>61.4</v>
      </c>
      <c r="P32" s="12">
        <v>5</v>
      </c>
      <c r="Q32" s="131">
        <f t="shared" si="3"/>
        <v>39</v>
      </c>
    </row>
    <row r="33" spans="1:17" s="4" customFormat="1" ht="12.75" x14ac:dyDescent="0.2">
      <c r="A33" s="12">
        <v>7</v>
      </c>
      <c r="B33" s="11" t="s">
        <v>152</v>
      </c>
      <c r="C33" s="12">
        <v>9.09</v>
      </c>
      <c r="D33" s="16">
        <f>(C33*100)/C27</f>
        <v>114.91782553729456</v>
      </c>
      <c r="E33" s="12">
        <f t="shared" si="2"/>
        <v>12</v>
      </c>
      <c r="F33" s="12">
        <v>9</v>
      </c>
      <c r="G33" s="12">
        <v>73</v>
      </c>
      <c r="H33" s="12">
        <v>84</v>
      </c>
      <c r="I33" s="12">
        <v>681</v>
      </c>
      <c r="J33" s="12">
        <v>8</v>
      </c>
      <c r="K33" s="17">
        <v>11.9</v>
      </c>
      <c r="L33" s="12">
        <v>4</v>
      </c>
      <c r="M33" s="17">
        <v>65.73</v>
      </c>
      <c r="N33" s="12">
        <v>9</v>
      </c>
      <c r="O33" s="12">
        <v>62.1</v>
      </c>
      <c r="P33" s="12">
        <v>6</v>
      </c>
      <c r="Q33" s="131">
        <f t="shared" si="3"/>
        <v>39</v>
      </c>
    </row>
    <row r="34" spans="1:17" s="4" customFormat="1" ht="12.75" x14ac:dyDescent="0.2">
      <c r="A34" s="12">
        <v>8</v>
      </c>
      <c r="B34" s="11" t="s">
        <v>153</v>
      </c>
      <c r="C34" s="14">
        <v>8.73</v>
      </c>
      <c r="D34" s="16">
        <f>(C34*100)/C27</f>
        <v>110.36662452591656</v>
      </c>
      <c r="E34" s="12">
        <f t="shared" si="2"/>
        <v>12</v>
      </c>
      <c r="F34" s="12">
        <v>9</v>
      </c>
      <c r="G34" s="12">
        <v>74</v>
      </c>
      <c r="H34" s="12">
        <v>84</v>
      </c>
      <c r="I34" s="16">
        <v>669</v>
      </c>
      <c r="J34" s="16">
        <v>7</v>
      </c>
      <c r="K34" s="17">
        <v>12.7</v>
      </c>
      <c r="L34" s="12">
        <v>5</v>
      </c>
      <c r="M34" s="17">
        <v>62.77</v>
      </c>
      <c r="N34" s="12">
        <v>9</v>
      </c>
      <c r="O34" s="17">
        <v>61.2</v>
      </c>
      <c r="P34" s="16">
        <v>5</v>
      </c>
      <c r="Q34" s="131">
        <f t="shared" si="3"/>
        <v>38</v>
      </c>
    </row>
    <row r="35" spans="1:17" s="4" customFormat="1" ht="12.75" x14ac:dyDescent="0.2">
      <c r="A35" s="12">
        <v>9</v>
      </c>
      <c r="B35" s="11" t="s">
        <v>154</v>
      </c>
      <c r="C35" s="12">
        <v>9.1300000000000008</v>
      </c>
      <c r="D35" s="16">
        <f>(C35*100)/C27</f>
        <v>115.42351453855881</v>
      </c>
      <c r="E35" s="12">
        <f t="shared" si="2"/>
        <v>12</v>
      </c>
      <c r="F35" s="12">
        <v>9</v>
      </c>
      <c r="G35" s="12">
        <v>63</v>
      </c>
      <c r="H35" s="12">
        <v>83</v>
      </c>
      <c r="I35" s="12">
        <v>667</v>
      </c>
      <c r="J35" s="12">
        <v>7</v>
      </c>
      <c r="K35" s="17">
        <v>12.7</v>
      </c>
      <c r="L35" s="12">
        <v>5</v>
      </c>
      <c r="M35" s="17">
        <v>58.97</v>
      </c>
      <c r="N35" s="12">
        <v>9</v>
      </c>
      <c r="O35" s="12">
        <v>61.7</v>
      </c>
      <c r="P35" s="12">
        <v>5</v>
      </c>
      <c r="Q35" s="131">
        <f t="shared" si="3"/>
        <v>38</v>
      </c>
    </row>
    <row r="36" spans="1:17" s="4" customFormat="1" ht="12.75" x14ac:dyDescent="0.2">
      <c r="A36" s="12">
        <v>10</v>
      </c>
      <c r="B36" s="11" t="s">
        <v>155</v>
      </c>
      <c r="C36" s="14">
        <v>9.01</v>
      </c>
      <c r="D36" s="16">
        <f>(C36*100)/C27</f>
        <v>113.90644753476612</v>
      </c>
      <c r="E36" s="12">
        <f t="shared" si="2"/>
        <v>12</v>
      </c>
      <c r="F36" s="12">
        <v>9</v>
      </c>
      <c r="G36" s="12">
        <v>63</v>
      </c>
      <c r="H36" s="12">
        <v>82</v>
      </c>
      <c r="I36" s="12">
        <v>676</v>
      </c>
      <c r="J36" s="12">
        <v>7</v>
      </c>
      <c r="K36" s="17">
        <v>12.5</v>
      </c>
      <c r="L36" s="12">
        <v>5</v>
      </c>
      <c r="M36" s="17">
        <v>59.21</v>
      </c>
      <c r="N36" s="12">
        <v>9</v>
      </c>
      <c r="O36" s="12">
        <v>61.5</v>
      </c>
      <c r="P36" s="12">
        <v>5</v>
      </c>
      <c r="Q36" s="131">
        <f t="shared" si="3"/>
        <v>38</v>
      </c>
    </row>
    <row r="37" spans="1:17" s="4" customFormat="1" ht="12.75" x14ac:dyDescent="0.2">
      <c r="A37" s="5" t="s">
        <v>216</v>
      </c>
      <c r="Q37" s="145"/>
    </row>
    <row r="38" spans="1:17" s="4" customFormat="1" ht="12.75" x14ac:dyDescent="0.2">
      <c r="A38" s="12">
        <v>1</v>
      </c>
      <c r="B38" s="11" t="s">
        <v>244</v>
      </c>
      <c r="C38" s="14">
        <v>4</v>
      </c>
      <c r="D38" s="12">
        <v>100</v>
      </c>
      <c r="E38" s="12">
        <f>5*2</f>
        <v>10</v>
      </c>
      <c r="F38" s="12">
        <v>9</v>
      </c>
      <c r="G38" s="12">
        <v>84</v>
      </c>
      <c r="H38" s="12">
        <v>85</v>
      </c>
      <c r="I38" s="16">
        <v>660</v>
      </c>
      <c r="J38" s="16">
        <v>7</v>
      </c>
      <c r="K38" s="17">
        <v>12.5</v>
      </c>
      <c r="L38" s="12">
        <v>5</v>
      </c>
      <c r="M38" s="17">
        <v>55.65</v>
      </c>
      <c r="N38" s="16">
        <v>9</v>
      </c>
      <c r="O38" s="17">
        <v>61.6</v>
      </c>
      <c r="P38" s="16">
        <v>5</v>
      </c>
      <c r="Q38" s="131">
        <f>E38+J38+L38+N38+P38</f>
        <v>36</v>
      </c>
    </row>
    <row r="39" spans="1:17" s="4" customFormat="1" ht="12.75" x14ac:dyDescent="0.2">
      <c r="A39" s="12">
        <v>2</v>
      </c>
      <c r="B39" s="11" t="s">
        <v>147</v>
      </c>
      <c r="C39" s="12">
        <v>4.83</v>
      </c>
      <c r="D39" s="16">
        <f>(C39*100)/C38</f>
        <v>120.75</v>
      </c>
      <c r="E39" s="12">
        <f>7*2</f>
        <v>14</v>
      </c>
      <c r="F39" s="12">
        <v>9</v>
      </c>
      <c r="G39" s="12">
        <v>85</v>
      </c>
      <c r="H39" s="12">
        <v>85</v>
      </c>
      <c r="I39" s="12">
        <v>682</v>
      </c>
      <c r="J39" s="12">
        <v>8</v>
      </c>
      <c r="K39" s="17">
        <v>11.9</v>
      </c>
      <c r="L39" s="12">
        <v>4</v>
      </c>
      <c r="M39" s="17">
        <v>56.39</v>
      </c>
      <c r="N39" s="12">
        <v>9</v>
      </c>
      <c r="O39" s="17">
        <v>52.3</v>
      </c>
      <c r="P39" s="12">
        <v>1</v>
      </c>
      <c r="Q39" s="131">
        <f t="shared" ref="Q39:Q47" si="4">E39+J39+L39+N39+P39</f>
        <v>36</v>
      </c>
    </row>
    <row r="40" spans="1:17" s="4" customFormat="1" ht="12.75" x14ac:dyDescent="0.2">
      <c r="A40" s="12">
        <v>3</v>
      </c>
      <c r="B40" s="11" t="s">
        <v>148</v>
      </c>
      <c r="C40" s="12">
        <v>3.54</v>
      </c>
      <c r="D40" s="16">
        <f>(C40*100)/C38</f>
        <v>88.5</v>
      </c>
      <c r="E40" s="12">
        <f>4*2</f>
        <v>8</v>
      </c>
      <c r="F40" s="12">
        <v>9</v>
      </c>
      <c r="G40" s="12">
        <v>89</v>
      </c>
      <c r="H40" s="12">
        <v>85</v>
      </c>
      <c r="I40" s="12">
        <v>638</v>
      </c>
      <c r="J40" s="12">
        <v>6</v>
      </c>
      <c r="K40" s="17">
        <v>12.1</v>
      </c>
      <c r="L40" s="12">
        <v>5</v>
      </c>
      <c r="M40" s="17">
        <v>58.02</v>
      </c>
      <c r="N40" s="12">
        <v>9</v>
      </c>
      <c r="O40" s="17">
        <v>61.8</v>
      </c>
      <c r="P40" s="12">
        <v>5</v>
      </c>
      <c r="Q40" s="131">
        <f t="shared" si="4"/>
        <v>33</v>
      </c>
    </row>
    <row r="41" spans="1:17" s="4" customFormat="1" ht="12.75" x14ac:dyDescent="0.2">
      <c r="A41" s="12">
        <v>4</v>
      </c>
      <c r="B41" s="11" t="s">
        <v>149</v>
      </c>
      <c r="C41" s="12">
        <v>4.1399999999999997</v>
      </c>
      <c r="D41" s="16">
        <f>(C41*100)/C38</f>
        <v>103.49999999999999</v>
      </c>
      <c r="E41" s="12">
        <f>5*2</f>
        <v>10</v>
      </c>
      <c r="F41" s="12">
        <v>9</v>
      </c>
      <c r="G41" s="12">
        <v>78</v>
      </c>
      <c r="H41" s="12">
        <v>85</v>
      </c>
      <c r="I41" s="12">
        <v>647</v>
      </c>
      <c r="J41" s="12">
        <v>6</v>
      </c>
      <c r="K41" s="17">
        <v>11</v>
      </c>
      <c r="L41" s="12">
        <v>4</v>
      </c>
      <c r="M41" s="17">
        <v>56.7</v>
      </c>
      <c r="N41" s="12">
        <v>9</v>
      </c>
      <c r="O41" s="17">
        <v>63</v>
      </c>
      <c r="P41" s="12">
        <v>6</v>
      </c>
      <c r="Q41" s="131">
        <f t="shared" si="4"/>
        <v>35</v>
      </c>
    </row>
    <row r="42" spans="1:17" s="4" customFormat="1" ht="12.75" x14ac:dyDescent="0.2">
      <c r="A42" s="12">
        <v>5</v>
      </c>
      <c r="B42" s="11" t="s">
        <v>150</v>
      </c>
      <c r="C42" s="12">
        <v>3.76</v>
      </c>
      <c r="D42" s="16">
        <f>(C42*100)/C38</f>
        <v>94</v>
      </c>
      <c r="E42" s="12">
        <f>4*2</f>
        <v>8</v>
      </c>
      <c r="F42" s="12">
        <v>9</v>
      </c>
      <c r="G42" s="12">
        <v>77</v>
      </c>
      <c r="H42" s="12">
        <v>85</v>
      </c>
      <c r="I42" s="16">
        <v>651</v>
      </c>
      <c r="J42" s="16">
        <v>7</v>
      </c>
      <c r="K42" s="17">
        <v>12.4</v>
      </c>
      <c r="L42" s="12">
        <v>5</v>
      </c>
      <c r="M42" s="17">
        <v>57.45</v>
      </c>
      <c r="N42" s="12">
        <v>9</v>
      </c>
      <c r="O42" s="17">
        <v>61.9</v>
      </c>
      <c r="P42" s="16">
        <v>5</v>
      </c>
      <c r="Q42" s="131">
        <f t="shared" si="4"/>
        <v>34</v>
      </c>
    </row>
    <row r="43" spans="1:17" s="4" customFormat="1" ht="12.75" x14ac:dyDescent="0.2">
      <c r="A43" s="12">
        <v>6</v>
      </c>
      <c r="B43" s="11" t="s">
        <v>151</v>
      </c>
      <c r="C43" s="14">
        <v>4</v>
      </c>
      <c r="D43" s="16">
        <f>(C43*100)/C38</f>
        <v>100</v>
      </c>
      <c r="E43" s="12">
        <f>5*2</f>
        <v>10</v>
      </c>
      <c r="F43" s="12">
        <v>9</v>
      </c>
      <c r="G43" s="12">
        <v>80</v>
      </c>
      <c r="H43" s="12">
        <v>85</v>
      </c>
      <c r="I43" s="12">
        <v>681</v>
      </c>
      <c r="J43" s="12">
        <v>8</v>
      </c>
      <c r="K43" s="17">
        <v>12</v>
      </c>
      <c r="L43" s="12">
        <v>4</v>
      </c>
      <c r="M43" s="17">
        <v>56.83</v>
      </c>
      <c r="N43" s="12">
        <v>9</v>
      </c>
      <c r="O43" s="17">
        <v>62.5</v>
      </c>
      <c r="P43" s="12">
        <v>6</v>
      </c>
      <c r="Q43" s="131">
        <f t="shared" si="4"/>
        <v>37</v>
      </c>
    </row>
    <row r="44" spans="1:17" s="4" customFormat="1" ht="12.75" x14ac:dyDescent="0.2">
      <c r="A44" s="12">
        <v>7</v>
      </c>
      <c r="B44" s="11" t="s">
        <v>152</v>
      </c>
      <c r="C44" s="12">
        <v>3.99</v>
      </c>
      <c r="D44" s="16">
        <f>(C44*100)/C38</f>
        <v>99.75</v>
      </c>
      <c r="E44" s="12">
        <f>5*2</f>
        <v>10</v>
      </c>
      <c r="F44" s="12">
        <v>9</v>
      </c>
      <c r="G44" s="12">
        <v>87</v>
      </c>
      <c r="H44" s="12">
        <v>85</v>
      </c>
      <c r="I44" s="12">
        <v>660</v>
      </c>
      <c r="J44" s="12">
        <v>7</v>
      </c>
      <c r="K44" s="17">
        <v>11.7</v>
      </c>
      <c r="L44" s="12">
        <v>4</v>
      </c>
      <c r="M44" s="17">
        <v>58.89</v>
      </c>
      <c r="N44" s="12">
        <v>9</v>
      </c>
      <c r="O44" s="17">
        <v>62.4</v>
      </c>
      <c r="P44" s="12">
        <v>6</v>
      </c>
      <c r="Q44" s="131">
        <f t="shared" si="4"/>
        <v>36</v>
      </c>
    </row>
    <row r="45" spans="1:17" s="4" customFormat="1" ht="12.75" x14ac:dyDescent="0.2">
      <c r="A45" s="12">
        <v>8</v>
      </c>
      <c r="B45" s="11" t="s">
        <v>153</v>
      </c>
      <c r="C45" s="14">
        <v>4</v>
      </c>
      <c r="D45" s="16">
        <f>(C45*100)/C38</f>
        <v>100</v>
      </c>
      <c r="E45" s="12">
        <f>5*2</f>
        <v>10</v>
      </c>
      <c r="F45" s="12">
        <v>9</v>
      </c>
      <c r="G45" s="12">
        <v>80</v>
      </c>
      <c r="H45" s="12">
        <v>85</v>
      </c>
      <c r="I45" s="16">
        <v>655</v>
      </c>
      <c r="J45" s="16">
        <v>7</v>
      </c>
      <c r="K45" s="17">
        <v>12.3</v>
      </c>
      <c r="L45" s="12">
        <v>5</v>
      </c>
      <c r="M45" s="17">
        <v>58.15</v>
      </c>
      <c r="N45" s="12">
        <v>9</v>
      </c>
      <c r="O45" s="17">
        <v>62</v>
      </c>
      <c r="P45" s="16">
        <v>6</v>
      </c>
      <c r="Q45" s="131">
        <f t="shared" si="4"/>
        <v>37</v>
      </c>
    </row>
    <row r="46" spans="1:17" s="4" customFormat="1" ht="12.75" x14ac:dyDescent="0.2">
      <c r="A46" s="12">
        <v>9</v>
      </c>
      <c r="B46" s="11" t="s">
        <v>154</v>
      </c>
      <c r="C46" s="12">
        <v>3.99</v>
      </c>
      <c r="D46" s="16">
        <f>(C46*100)/C38</f>
        <v>99.75</v>
      </c>
      <c r="E46" s="12">
        <f>5*2</f>
        <v>10</v>
      </c>
      <c r="F46" s="12">
        <v>9</v>
      </c>
      <c r="G46" s="12">
        <v>71</v>
      </c>
      <c r="H46" s="12">
        <v>85</v>
      </c>
      <c r="I46" s="12">
        <v>650</v>
      </c>
      <c r="J46" s="12">
        <v>6</v>
      </c>
      <c r="K46" s="17">
        <v>12.4</v>
      </c>
      <c r="L46" s="12">
        <v>5</v>
      </c>
      <c r="M46" s="17">
        <v>55.57</v>
      </c>
      <c r="N46" s="12">
        <v>9</v>
      </c>
      <c r="O46" s="17">
        <v>61.9</v>
      </c>
      <c r="P46" s="12">
        <v>5</v>
      </c>
      <c r="Q46" s="131">
        <f t="shared" si="4"/>
        <v>35</v>
      </c>
    </row>
    <row r="47" spans="1:17" s="4" customFormat="1" ht="12.75" x14ac:dyDescent="0.2">
      <c r="A47" s="12">
        <v>10</v>
      </c>
      <c r="B47" s="11" t="s">
        <v>155</v>
      </c>
      <c r="C47" s="14">
        <v>4.45</v>
      </c>
      <c r="D47" s="16">
        <f>(C47*100)/C38</f>
        <v>111.25</v>
      </c>
      <c r="E47" s="12">
        <f>6*2</f>
        <v>12</v>
      </c>
      <c r="F47" s="12">
        <v>9</v>
      </c>
      <c r="G47" s="12">
        <v>70</v>
      </c>
      <c r="H47" s="12">
        <v>82</v>
      </c>
      <c r="I47" s="12">
        <v>664</v>
      </c>
      <c r="J47" s="12">
        <v>7</v>
      </c>
      <c r="K47" s="17">
        <v>11.9</v>
      </c>
      <c r="L47" s="12">
        <v>4</v>
      </c>
      <c r="M47" s="17">
        <v>53.76</v>
      </c>
      <c r="N47" s="12">
        <v>9</v>
      </c>
      <c r="O47" s="17">
        <v>62.5</v>
      </c>
      <c r="P47" s="12">
        <v>6</v>
      </c>
      <c r="Q47" s="131">
        <f t="shared" si="4"/>
        <v>38</v>
      </c>
    </row>
    <row r="48" spans="1:17" s="4" customFormat="1" ht="12.75" x14ac:dyDescent="0.2">
      <c r="A48" s="5" t="s">
        <v>115</v>
      </c>
      <c r="Q48" s="127"/>
    </row>
    <row r="49" spans="1:17" s="4" customFormat="1" ht="12.75" x14ac:dyDescent="0.2">
      <c r="A49" s="12">
        <v>1</v>
      </c>
      <c r="B49" s="11" t="s">
        <v>244</v>
      </c>
      <c r="C49" s="12">
        <v>3.74</v>
      </c>
      <c r="D49" s="12">
        <v>100</v>
      </c>
      <c r="E49" s="12">
        <f>5*2</f>
        <v>10</v>
      </c>
      <c r="F49" s="12">
        <v>8</v>
      </c>
      <c r="G49" s="12">
        <v>55</v>
      </c>
      <c r="H49" s="12">
        <v>79</v>
      </c>
      <c r="I49" s="16">
        <v>582</v>
      </c>
      <c r="J49" s="12">
        <v>3</v>
      </c>
      <c r="K49" s="17">
        <v>14.7</v>
      </c>
      <c r="L49" s="12">
        <v>7</v>
      </c>
      <c r="M49" s="17">
        <v>44.8</v>
      </c>
      <c r="N49" s="12">
        <v>6</v>
      </c>
      <c r="O49" s="17">
        <v>60.4</v>
      </c>
      <c r="P49" s="12">
        <v>5</v>
      </c>
      <c r="Q49" s="131">
        <f>E49+J49+L49+N49+P49</f>
        <v>31</v>
      </c>
    </row>
    <row r="50" spans="1:17" s="4" customFormat="1" ht="12.75" x14ac:dyDescent="0.2">
      <c r="A50" s="12">
        <v>2</v>
      </c>
      <c r="B50" s="11" t="s">
        <v>147</v>
      </c>
      <c r="C50" s="12">
        <v>4.0599999999999996</v>
      </c>
      <c r="D50" s="16">
        <f>(C50*100)/C49</f>
        <v>108.5561497326203</v>
      </c>
      <c r="E50" s="12">
        <f>6*2</f>
        <v>12</v>
      </c>
      <c r="F50" s="12">
        <v>8</v>
      </c>
      <c r="G50" s="12">
        <v>54</v>
      </c>
      <c r="H50" s="12">
        <v>81</v>
      </c>
      <c r="I50" s="12">
        <v>607</v>
      </c>
      <c r="J50" s="12">
        <v>5</v>
      </c>
      <c r="K50" s="17">
        <v>13.8</v>
      </c>
      <c r="L50" s="12">
        <v>6</v>
      </c>
      <c r="M50" s="17">
        <v>52</v>
      </c>
      <c r="N50" s="12">
        <v>9</v>
      </c>
      <c r="O50" s="12">
        <v>61.1</v>
      </c>
      <c r="P50" s="12">
        <v>5</v>
      </c>
      <c r="Q50" s="131">
        <f t="shared" ref="Q50:Q58" si="5">E50+J50+L50+N50+P50</f>
        <v>37</v>
      </c>
    </row>
    <row r="51" spans="1:17" s="4" customFormat="1" ht="12.75" x14ac:dyDescent="0.2">
      <c r="A51" s="12">
        <v>3</v>
      </c>
      <c r="B51" s="11" t="s">
        <v>148</v>
      </c>
      <c r="C51" s="12">
        <v>3.36</v>
      </c>
      <c r="D51" s="16">
        <f>(C51*100)/C49</f>
        <v>89.839572192513359</v>
      </c>
      <c r="E51" s="12">
        <f>4*2</f>
        <v>8</v>
      </c>
      <c r="F51" s="12">
        <v>8</v>
      </c>
      <c r="G51" s="12">
        <v>67</v>
      </c>
      <c r="H51" s="12">
        <v>80</v>
      </c>
      <c r="I51" s="12">
        <v>583</v>
      </c>
      <c r="J51" s="12">
        <v>3</v>
      </c>
      <c r="K51" s="17">
        <v>14</v>
      </c>
      <c r="L51" s="12">
        <v>6</v>
      </c>
      <c r="M51" s="17">
        <v>50</v>
      </c>
      <c r="N51" s="12">
        <v>8</v>
      </c>
      <c r="O51" s="12">
        <v>60.7</v>
      </c>
      <c r="P51" s="12">
        <v>5</v>
      </c>
      <c r="Q51" s="131">
        <f t="shared" si="5"/>
        <v>30</v>
      </c>
    </row>
    <row r="52" spans="1:17" s="4" customFormat="1" ht="12.75" x14ac:dyDescent="0.2">
      <c r="A52" s="12">
        <v>4</v>
      </c>
      <c r="B52" s="11" t="s">
        <v>149</v>
      </c>
      <c r="C52" s="12">
        <v>3.91</v>
      </c>
      <c r="D52" s="16">
        <f>(C52*100)/C49</f>
        <v>104.54545454545453</v>
      </c>
      <c r="E52" s="12">
        <f>5*2</f>
        <v>10</v>
      </c>
      <c r="F52" s="12">
        <v>8</v>
      </c>
      <c r="G52" s="12">
        <v>54</v>
      </c>
      <c r="H52" s="12">
        <v>80</v>
      </c>
      <c r="I52" s="12">
        <v>602</v>
      </c>
      <c r="J52" s="12">
        <v>5</v>
      </c>
      <c r="K52" s="12">
        <v>13.9</v>
      </c>
      <c r="L52" s="12">
        <v>6</v>
      </c>
      <c r="M52" s="17">
        <v>45.4</v>
      </c>
      <c r="N52" s="12">
        <v>7</v>
      </c>
      <c r="O52" s="12">
        <v>61.3</v>
      </c>
      <c r="P52" s="12">
        <v>5</v>
      </c>
      <c r="Q52" s="131">
        <f t="shared" si="5"/>
        <v>33</v>
      </c>
    </row>
    <row r="53" spans="1:17" s="4" customFormat="1" ht="12.75" x14ac:dyDescent="0.2">
      <c r="A53" s="12">
        <v>5</v>
      </c>
      <c r="B53" s="11" t="s">
        <v>150</v>
      </c>
      <c r="C53" s="12">
        <v>3.39</v>
      </c>
      <c r="D53" s="16">
        <f>(C53*100)/C49</f>
        <v>90.641711229946523</v>
      </c>
      <c r="E53" s="12">
        <f>4*2</f>
        <v>8</v>
      </c>
      <c r="F53" s="12">
        <v>8</v>
      </c>
      <c r="G53" s="12">
        <v>52</v>
      </c>
      <c r="H53" s="12">
        <v>78</v>
      </c>
      <c r="I53" s="12">
        <v>600</v>
      </c>
      <c r="J53" s="12">
        <v>4</v>
      </c>
      <c r="K53" s="12">
        <v>14.1</v>
      </c>
      <c r="L53" s="12">
        <v>7</v>
      </c>
      <c r="M53" s="17">
        <v>47.6</v>
      </c>
      <c r="N53" s="12">
        <v>7</v>
      </c>
      <c r="O53" s="12">
        <v>60.8</v>
      </c>
      <c r="P53" s="12">
        <v>5</v>
      </c>
      <c r="Q53" s="131">
        <f t="shared" si="5"/>
        <v>31</v>
      </c>
    </row>
    <row r="54" spans="1:17" s="4" customFormat="1" ht="12.75" x14ac:dyDescent="0.2">
      <c r="A54" s="12">
        <v>6</v>
      </c>
      <c r="B54" s="11" t="s">
        <v>151</v>
      </c>
      <c r="C54" s="12">
        <v>3.79</v>
      </c>
      <c r="D54" s="16">
        <f>(C54*100)/C49</f>
        <v>101.33689839572192</v>
      </c>
      <c r="E54" s="12">
        <f>5*2</f>
        <v>10</v>
      </c>
      <c r="F54" s="12">
        <v>8</v>
      </c>
      <c r="G54" s="12">
        <v>59</v>
      </c>
      <c r="H54" s="12">
        <v>78</v>
      </c>
      <c r="I54" s="12">
        <v>623</v>
      </c>
      <c r="J54" s="12">
        <v>6</v>
      </c>
      <c r="K54" s="12">
        <v>14.1</v>
      </c>
      <c r="L54" s="12">
        <v>7</v>
      </c>
      <c r="M54" s="17">
        <v>49.2</v>
      </c>
      <c r="N54" s="12">
        <v>8</v>
      </c>
      <c r="O54" s="12">
        <v>61.3</v>
      </c>
      <c r="P54" s="12">
        <v>5</v>
      </c>
      <c r="Q54" s="131">
        <f t="shared" si="5"/>
        <v>36</v>
      </c>
    </row>
    <row r="55" spans="1:17" s="4" customFormat="1" ht="12.75" x14ac:dyDescent="0.2">
      <c r="A55" s="12">
        <v>7</v>
      </c>
      <c r="B55" s="11" t="s">
        <v>152</v>
      </c>
      <c r="C55" s="12">
        <v>3.71</v>
      </c>
      <c r="D55" s="16">
        <f>(C55*100)/C49</f>
        <v>99.197860962566835</v>
      </c>
      <c r="E55" s="12">
        <f>5*2</f>
        <v>10</v>
      </c>
      <c r="F55" s="12">
        <v>8</v>
      </c>
      <c r="G55" s="12">
        <v>60</v>
      </c>
      <c r="H55" s="12">
        <v>78</v>
      </c>
      <c r="I55" s="12">
        <v>607</v>
      </c>
      <c r="J55" s="12">
        <v>5</v>
      </c>
      <c r="K55" s="12">
        <v>13.8</v>
      </c>
      <c r="L55" s="12">
        <v>6</v>
      </c>
      <c r="M55" s="17">
        <v>51</v>
      </c>
      <c r="N55" s="12">
        <v>9</v>
      </c>
      <c r="O55" s="12">
        <v>61.4</v>
      </c>
      <c r="P55" s="12">
        <v>5</v>
      </c>
      <c r="Q55" s="131">
        <f t="shared" si="5"/>
        <v>35</v>
      </c>
    </row>
    <row r="56" spans="1:17" s="4" customFormat="1" ht="12.75" x14ac:dyDescent="0.2">
      <c r="A56" s="12">
        <v>8</v>
      </c>
      <c r="B56" s="11" t="s">
        <v>153</v>
      </c>
      <c r="C56" s="14">
        <v>3.66</v>
      </c>
      <c r="D56" s="16">
        <f>(C56*100)/C49</f>
        <v>97.860962566844918</v>
      </c>
      <c r="E56" s="12">
        <f>5*2</f>
        <v>10</v>
      </c>
      <c r="F56" s="12">
        <v>7</v>
      </c>
      <c r="G56" s="12">
        <v>63</v>
      </c>
      <c r="H56" s="12">
        <v>77</v>
      </c>
      <c r="I56" s="12">
        <v>580</v>
      </c>
      <c r="J56" s="12">
        <v>3</v>
      </c>
      <c r="K56" s="12">
        <v>13.7</v>
      </c>
      <c r="L56" s="12">
        <v>6</v>
      </c>
      <c r="M56" s="17">
        <v>48.6</v>
      </c>
      <c r="N56" s="12">
        <v>8</v>
      </c>
      <c r="O56" s="12">
        <v>61.3</v>
      </c>
      <c r="P56" s="12">
        <v>5</v>
      </c>
      <c r="Q56" s="131">
        <f t="shared" si="5"/>
        <v>32</v>
      </c>
    </row>
    <row r="57" spans="1:17" s="4" customFormat="1" ht="12.75" x14ac:dyDescent="0.2">
      <c r="A57" s="12">
        <v>9</v>
      </c>
      <c r="B57" s="11" t="s">
        <v>154</v>
      </c>
      <c r="C57" s="12">
        <v>3.92</v>
      </c>
      <c r="D57" s="16">
        <f>(C57*100)/C49</f>
        <v>104.81283422459893</v>
      </c>
      <c r="E57" s="12">
        <f>5*2</f>
        <v>10</v>
      </c>
      <c r="F57" s="12">
        <v>9</v>
      </c>
      <c r="G57" s="12">
        <v>50</v>
      </c>
      <c r="H57" s="12">
        <v>79</v>
      </c>
      <c r="I57" s="12">
        <v>615</v>
      </c>
      <c r="J57" s="12">
        <v>5</v>
      </c>
      <c r="K57" s="12">
        <v>13.9</v>
      </c>
      <c r="L57" s="12">
        <v>6</v>
      </c>
      <c r="M57" s="17">
        <v>49.6</v>
      </c>
      <c r="N57" s="12">
        <v>8</v>
      </c>
      <c r="O57" s="12">
        <v>61.2</v>
      </c>
      <c r="P57" s="12">
        <v>5</v>
      </c>
      <c r="Q57" s="131">
        <f t="shared" si="5"/>
        <v>34</v>
      </c>
    </row>
    <row r="58" spans="1:17" s="4" customFormat="1" ht="12.75" x14ac:dyDescent="0.2">
      <c r="A58" s="12">
        <v>10</v>
      </c>
      <c r="B58" s="11" t="s">
        <v>155</v>
      </c>
      <c r="C58" s="12">
        <v>3.98</v>
      </c>
      <c r="D58" s="16">
        <f>(C58*100)/C49</f>
        <v>106.41711229946523</v>
      </c>
      <c r="E58" s="12">
        <f>6*2</f>
        <v>12</v>
      </c>
      <c r="F58" s="12">
        <v>8</v>
      </c>
      <c r="G58" s="12">
        <v>51</v>
      </c>
      <c r="H58" s="12">
        <v>78</v>
      </c>
      <c r="I58" s="12">
        <v>604</v>
      </c>
      <c r="J58" s="12">
        <v>5</v>
      </c>
      <c r="K58" s="17">
        <v>13.5</v>
      </c>
      <c r="L58" s="12">
        <v>6</v>
      </c>
      <c r="M58" s="17">
        <v>46.8</v>
      </c>
      <c r="N58" s="12">
        <v>7</v>
      </c>
      <c r="O58" s="17">
        <v>61</v>
      </c>
      <c r="P58" s="12">
        <v>5</v>
      </c>
      <c r="Q58" s="131">
        <f t="shared" si="5"/>
        <v>35</v>
      </c>
    </row>
    <row r="59" spans="1:17" s="4" customFormat="1" ht="12.75" x14ac:dyDescent="0.2">
      <c r="A59" s="5" t="s">
        <v>29</v>
      </c>
      <c r="Q59" s="145"/>
    </row>
    <row r="60" spans="1:17" s="4" customFormat="1" ht="12.75" x14ac:dyDescent="0.2">
      <c r="A60" s="12">
        <v>1</v>
      </c>
      <c r="B60" s="11" t="s">
        <v>244</v>
      </c>
      <c r="C60" s="14">
        <f>(C27+C38+C49)/3</f>
        <v>5.2166666666666668</v>
      </c>
      <c r="D60" s="12">
        <v>100</v>
      </c>
      <c r="E60" s="12">
        <f>5*2</f>
        <v>10</v>
      </c>
      <c r="F60" s="16">
        <f t="shared" ref="F60:G69" si="6">(F27+F38+F49)/3</f>
        <v>8.6666666666666661</v>
      </c>
      <c r="G60" s="16">
        <f>(G27+G38+G49)/3</f>
        <v>69.666666666666671</v>
      </c>
      <c r="H60" s="16">
        <f>(H27+H38+H49)/3</f>
        <v>81.666666666666671</v>
      </c>
      <c r="I60" s="16">
        <f t="shared" ref="I60:K69" si="7">(I27+I38+I49)/3</f>
        <v>642.66666666666663</v>
      </c>
      <c r="J60" s="12">
        <v>6</v>
      </c>
      <c r="K60" s="17">
        <f t="shared" si="7"/>
        <v>13.466666666666667</v>
      </c>
      <c r="L60" s="12">
        <v>6</v>
      </c>
      <c r="M60" s="17">
        <f t="shared" ref="M60:M69" si="8">(M27+M38+M49)/3</f>
        <v>52.076666666666675</v>
      </c>
      <c r="N60" s="12">
        <v>9</v>
      </c>
      <c r="O60" s="17">
        <f t="shared" ref="O60:O69" si="9">(O27+O38+O49)/3</f>
        <v>61</v>
      </c>
      <c r="P60" s="12">
        <v>5</v>
      </c>
      <c r="Q60" s="131">
        <f>E60+J60+L60+N60+P60</f>
        <v>36</v>
      </c>
    </row>
    <row r="61" spans="1:17" s="4" customFormat="1" ht="12.75" x14ac:dyDescent="0.2">
      <c r="A61" s="12">
        <v>2</v>
      </c>
      <c r="B61" s="11" t="s">
        <v>147</v>
      </c>
      <c r="C61" s="14">
        <f t="shared" ref="C61:C69" si="10">(C28+C39+C50)/3</f>
        <v>5.8999999999999995</v>
      </c>
      <c r="D61" s="16">
        <f>(C61*100)/C60</f>
        <v>113.09904153354633</v>
      </c>
      <c r="E61" s="12">
        <f>6*2</f>
        <v>12</v>
      </c>
      <c r="F61" s="16">
        <f t="shared" si="6"/>
        <v>8.6666666666666661</v>
      </c>
      <c r="G61" s="16">
        <f t="shared" si="6"/>
        <v>69.333333333333329</v>
      </c>
      <c r="H61" s="16">
        <f t="shared" ref="H61:H69" si="11">(H28+H39+H50)/3</f>
        <v>83</v>
      </c>
      <c r="I61" s="16">
        <f t="shared" si="7"/>
        <v>659</v>
      </c>
      <c r="J61" s="12">
        <v>7</v>
      </c>
      <c r="K61" s="17">
        <f t="shared" si="7"/>
        <v>12.733333333333334</v>
      </c>
      <c r="L61" s="12">
        <v>5</v>
      </c>
      <c r="M61" s="17">
        <f t="shared" si="8"/>
        <v>54.826666666666675</v>
      </c>
      <c r="N61" s="12">
        <v>9</v>
      </c>
      <c r="O61" s="17">
        <f t="shared" si="9"/>
        <v>58.300000000000004</v>
      </c>
      <c r="P61" s="12">
        <v>3</v>
      </c>
      <c r="Q61" s="131">
        <f t="shared" ref="Q61:Q69" si="12">E61+J61+L61+N61+P61</f>
        <v>36</v>
      </c>
    </row>
    <row r="62" spans="1:17" s="4" customFormat="1" ht="12.75" x14ac:dyDescent="0.2">
      <c r="A62" s="12">
        <v>3</v>
      </c>
      <c r="B62" s="11" t="s">
        <v>148</v>
      </c>
      <c r="C62" s="14">
        <f t="shared" si="10"/>
        <v>5.1766666666666667</v>
      </c>
      <c r="D62" s="16">
        <f>(C62*100)/C60</f>
        <v>99.233226837060698</v>
      </c>
      <c r="E62" s="12">
        <f>5*2</f>
        <v>10</v>
      </c>
      <c r="F62" s="16">
        <f t="shared" si="6"/>
        <v>8.6666666666666661</v>
      </c>
      <c r="G62" s="16">
        <f t="shared" si="6"/>
        <v>76.666666666666671</v>
      </c>
      <c r="H62" s="16">
        <f t="shared" si="11"/>
        <v>82.666666666666671</v>
      </c>
      <c r="I62" s="16">
        <f t="shared" si="7"/>
        <v>634.66666666666663</v>
      </c>
      <c r="J62" s="12">
        <v>6</v>
      </c>
      <c r="K62" s="17">
        <f t="shared" si="7"/>
        <v>12.9</v>
      </c>
      <c r="L62" s="12">
        <v>5</v>
      </c>
      <c r="M62" s="17">
        <f t="shared" si="8"/>
        <v>57.75333333333333</v>
      </c>
      <c r="N62" s="12">
        <v>9</v>
      </c>
      <c r="O62" s="17">
        <f t="shared" si="9"/>
        <v>61.166666666666664</v>
      </c>
      <c r="P62" s="12">
        <v>5</v>
      </c>
      <c r="Q62" s="131">
        <f t="shared" si="12"/>
        <v>35</v>
      </c>
    </row>
    <row r="63" spans="1:17" s="4" customFormat="1" ht="12.75" x14ac:dyDescent="0.2">
      <c r="A63" s="12">
        <v>4</v>
      </c>
      <c r="B63" s="11" t="s">
        <v>149</v>
      </c>
      <c r="C63" s="14">
        <f t="shared" si="10"/>
        <v>5.6933333333333325</v>
      </c>
      <c r="D63" s="16">
        <f>(C63*100)/C60</f>
        <v>109.13738019169327</v>
      </c>
      <c r="E63" s="12">
        <f>6*2</f>
        <v>12</v>
      </c>
      <c r="F63" s="16">
        <f t="shared" si="6"/>
        <v>8.6666666666666661</v>
      </c>
      <c r="G63" s="16">
        <f t="shared" si="6"/>
        <v>66</v>
      </c>
      <c r="H63" s="16">
        <f t="shared" si="11"/>
        <v>82.666666666666671</v>
      </c>
      <c r="I63" s="16">
        <f t="shared" si="7"/>
        <v>644.66666666666663</v>
      </c>
      <c r="J63" s="12">
        <v>6</v>
      </c>
      <c r="K63" s="17">
        <f t="shared" si="7"/>
        <v>12.5</v>
      </c>
      <c r="L63" s="12">
        <v>5</v>
      </c>
      <c r="M63" s="17">
        <f t="shared" si="8"/>
        <v>54.873333333333335</v>
      </c>
      <c r="N63" s="12">
        <v>9</v>
      </c>
      <c r="O63" s="17">
        <f t="shared" si="9"/>
        <v>62</v>
      </c>
      <c r="P63" s="12">
        <v>6</v>
      </c>
      <c r="Q63" s="131">
        <f t="shared" si="12"/>
        <v>38</v>
      </c>
    </row>
    <row r="64" spans="1:17" s="4" customFormat="1" ht="12.75" x14ac:dyDescent="0.2">
      <c r="A64" s="12">
        <v>5</v>
      </c>
      <c r="B64" s="11" t="s">
        <v>150</v>
      </c>
      <c r="C64" s="14">
        <f t="shared" si="10"/>
        <v>5.2666666666666666</v>
      </c>
      <c r="D64" s="16">
        <f>(C64*100)/C60</f>
        <v>100.95846645367411</v>
      </c>
      <c r="E64" s="12">
        <f>5*2</f>
        <v>10</v>
      </c>
      <c r="F64" s="16">
        <f t="shared" si="6"/>
        <v>8.6666666666666661</v>
      </c>
      <c r="G64" s="16">
        <f t="shared" si="6"/>
        <v>66.666666666666671</v>
      </c>
      <c r="H64" s="16">
        <f t="shared" si="11"/>
        <v>81.666666666666671</v>
      </c>
      <c r="I64" s="16">
        <f t="shared" si="7"/>
        <v>649.33333333333337</v>
      </c>
      <c r="J64" s="12">
        <v>6</v>
      </c>
      <c r="K64" s="17">
        <f t="shared" si="7"/>
        <v>13.299999999999999</v>
      </c>
      <c r="L64" s="12">
        <v>6</v>
      </c>
      <c r="M64" s="17">
        <f t="shared" si="8"/>
        <v>55.94</v>
      </c>
      <c r="N64" s="12">
        <v>9</v>
      </c>
      <c r="O64" s="17">
        <f t="shared" si="9"/>
        <v>61.29999999999999</v>
      </c>
      <c r="P64" s="12">
        <v>5</v>
      </c>
      <c r="Q64" s="131">
        <f t="shared" si="12"/>
        <v>36</v>
      </c>
    </row>
    <row r="65" spans="1:17" s="4" customFormat="1" ht="12.75" x14ac:dyDescent="0.2">
      <c r="A65" s="12">
        <v>6</v>
      </c>
      <c r="B65" s="11" t="s">
        <v>151</v>
      </c>
      <c r="C65" s="14">
        <f t="shared" si="10"/>
        <v>5.4899999999999993</v>
      </c>
      <c r="D65" s="16">
        <f>(C65*100)/C60</f>
        <v>105.23961661341851</v>
      </c>
      <c r="E65" s="12">
        <f>5*2</f>
        <v>10</v>
      </c>
      <c r="F65" s="16">
        <f t="shared" si="6"/>
        <v>8.6666666666666661</v>
      </c>
      <c r="G65" s="16">
        <f t="shared" si="6"/>
        <v>69.333333333333329</v>
      </c>
      <c r="H65" s="16">
        <f t="shared" si="11"/>
        <v>81.666666666666671</v>
      </c>
      <c r="I65" s="16">
        <f t="shared" si="7"/>
        <v>662.66666666666663</v>
      </c>
      <c r="J65" s="12">
        <v>7</v>
      </c>
      <c r="K65" s="17">
        <f t="shared" si="7"/>
        <v>12.9</v>
      </c>
      <c r="L65" s="12">
        <v>5</v>
      </c>
      <c r="M65" s="17">
        <f t="shared" si="8"/>
        <v>55</v>
      </c>
      <c r="N65" s="12">
        <v>9</v>
      </c>
      <c r="O65" s="17">
        <f t="shared" si="9"/>
        <v>61.733333333333327</v>
      </c>
      <c r="P65" s="12">
        <v>5</v>
      </c>
      <c r="Q65" s="131">
        <f t="shared" si="12"/>
        <v>36</v>
      </c>
    </row>
    <row r="66" spans="1:17" s="4" customFormat="1" ht="12.75" x14ac:dyDescent="0.2">
      <c r="A66" s="12">
        <v>7</v>
      </c>
      <c r="B66" s="11" t="s">
        <v>152</v>
      </c>
      <c r="C66" s="14">
        <f t="shared" si="10"/>
        <v>5.5966666666666667</v>
      </c>
      <c r="D66" s="16">
        <f>(C66*100)/C60</f>
        <v>107.28434504792331</v>
      </c>
      <c r="E66" s="12">
        <f>6*2</f>
        <v>12</v>
      </c>
      <c r="F66" s="16">
        <f t="shared" si="6"/>
        <v>8.6666666666666661</v>
      </c>
      <c r="G66" s="16">
        <f t="shared" si="6"/>
        <v>73.333333333333329</v>
      </c>
      <c r="H66" s="16">
        <f t="shared" si="11"/>
        <v>82.333333333333329</v>
      </c>
      <c r="I66" s="16">
        <f t="shared" si="7"/>
        <v>649.33333333333337</v>
      </c>
      <c r="J66" s="12">
        <v>6</v>
      </c>
      <c r="K66" s="17">
        <f t="shared" si="7"/>
        <v>12.466666666666669</v>
      </c>
      <c r="L66" s="12">
        <v>5</v>
      </c>
      <c r="M66" s="17">
        <f t="shared" si="8"/>
        <v>58.54</v>
      </c>
      <c r="N66" s="12">
        <v>9</v>
      </c>
      <c r="O66" s="17">
        <f t="shared" si="9"/>
        <v>61.966666666666669</v>
      </c>
      <c r="P66" s="12">
        <v>6</v>
      </c>
      <c r="Q66" s="131">
        <f t="shared" si="12"/>
        <v>38</v>
      </c>
    </row>
    <row r="67" spans="1:17" s="4" customFormat="1" ht="12.75" x14ac:dyDescent="0.2">
      <c r="A67" s="12">
        <v>8</v>
      </c>
      <c r="B67" s="11" t="s">
        <v>153</v>
      </c>
      <c r="C67" s="14">
        <f t="shared" si="10"/>
        <v>5.4633333333333338</v>
      </c>
      <c r="D67" s="16">
        <f>(C67*100)/C60</f>
        <v>104.72843450479233</v>
      </c>
      <c r="E67" s="12">
        <f>5*2</f>
        <v>10</v>
      </c>
      <c r="F67" s="16">
        <f t="shared" si="6"/>
        <v>8.3333333333333339</v>
      </c>
      <c r="G67" s="16">
        <f t="shared" si="6"/>
        <v>72.333333333333329</v>
      </c>
      <c r="H67" s="16">
        <f t="shared" si="11"/>
        <v>82</v>
      </c>
      <c r="I67" s="16">
        <f t="shared" si="7"/>
        <v>634.66666666666663</v>
      </c>
      <c r="J67" s="12">
        <v>6</v>
      </c>
      <c r="K67" s="17">
        <f t="shared" si="7"/>
        <v>12.9</v>
      </c>
      <c r="L67" s="12">
        <v>5</v>
      </c>
      <c r="M67" s="17">
        <f t="shared" si="8"/>
        <v>56.506666666666668</v>
      </c>
      <c r="N67" s="12">
        <v>9</v>
      </c>
      <c r="O67" s="17">
        <f t="shared" si="9"/>
        <v>61.5</v>
      </c>
      <c r="P67" s="12">
        <v>5</v>
      </c>
      <c r="Q67" s="131">
        <f t="shared" si="12"/>
        <v>35</v>
      </c>
    </row>
    <row r="68" spans="1:17" s="4" customFormat="1" ht="12.75" x14ac:dyDescent="0.2">
      <c r="A68" s="12">
        <v>9</v>
      </c>
      <c r="B68" s="11" t="s">
        <v>154</v>
      </c>
      <c r="C68" s="14">
        <f t="shared" si="10"/>
        <v>5.68</v>
      </c>
      <c r="D68" s="16">
        <f>(C68*100)/C60</f>
        <v>108.8817891373802</v>
      </c>
      <c r="E68" s="12">
        <f>6*2</f>
        <v>12</v>
      </c>
      <c r="F68" s="16">
        <f t="shared" si="6"/>
        <v>9</v>
      </c>
      <c r="G68" s="16">
        <f t="shared" si="6"/>
        <v>61.333333333333336</v>
      </c>
      <c r="H68" s="16">
        <f t="shared" si="11"/>
        <v>82.333333333333329</v>
      </c>
      <c r="I68" s="16">
        <f t="shared" si="7"/>
        <v>644</v>
      </c>
      <c r="J68" s="12">
        <v>6</v>
      </c>
      <c r="K68" s="17">
        <f t="shared" si="7"/>
        <v>13</v>
      </c>
      <c r="L68" s="12">
        <v>5</v>
      </c>
      <c r="M68" s="17">
        <f t="shared" si="8"/>
        <v>54.713333333333331</v>
      </c>
      <c r="N68" s="12">
        <v>9</v>
      </c>
      <c r="O68" s="17">
        <f t="shared" si="9"/>
        <v>61.6</v>
      </c>
      <c r="P68" s="12">
        <v>5</v>
      </c>
      <c r="Q68" s="131">
        <f t="shared" si="12"/>
        <v>37</v>
      </c>
    </row>
    <row r="69" spans="1:17" s="4" customFormat="1" ht="12.75" x14ac:dyDescent="0.2">
      <c r="A69" s="12">
        <v>10</v>
      </c>
      <c r="B69" s="11" t="s">
        <v>155</v>
      </c>
      <c r="C69" s="14">
        <f t="shared" si="10"/>
        <v>5.8133333333333335</v>
      </c>
      <c r="D69" s="16">
        <f>(C69*100)/C60</f>
        <v>111.43769968051119</v>
      </c>
      <c r="E69" s="12">
        <f>6*2</f>
        <v>12</v>
      </c>
      <c r="F69" s="16">
        <f t="shared" si="6"/>
        <v>8.6666666666666661</v>
      </c>
      <c r="G69" s="16">
        <f t="shared" si="6"/>
        <v>61.333333333333336</v>
      </c>
      <c r="H69" s="16">
        <f t="shared" si="11"/>
        <v>80.666666666666671</v>
      </c>
      <c r="I69" s="16">
        <f t="shared" si="7"/>
        <v>648</v>
      </c>
      <c r="J69" s="12">
        <v>6</v>
      </c>
      <c r="K69" s="17">
        <f t="shared" si="7"/>
        <v>12.633333333333333</v>
      </c>
      <c r="L69" s="12">
        <v>5</v>
      </c>
      <c r="M69" s="17">
        <f t="shared" si="8"/>
        <v>53.256666666666661</v>
      </c>
      <c r="N69" s="12">
        <v>9</v>
      </c>
      <c r="O69" s="17">
        <f t="shared" si="9"/>
        <v>61.666666666666664</v>
      </c>
      <c r="P69" s="12">
        <v>5</v>
      </c>
      <c r="Q69" s="131">
        <f t="shared" si="12"/>
        <v>37</v>
      </c>
    </row>
    <row r="72" spans="1:17" ht="15.75" x14ac:dyDescent="0.25">
      <c r="B72" s="133" t="s">
        <v>218</v>
      </c>
      <c r="C72" s="134"/>
      <c r="D72" s="134"/>
      <c r="E72" s="134"/>
    </row>
  </sheetData>
  <mergeCells count="8">
    <mergeCell ref="O6:P6"/>
    <mergeCell ref="Q6:Q7"/>
    <mergeCell ref="A6:A7"/>
    <mergeCell ref="B6:B7"/>
    <mergeCell ref="C6:E6"/>
    <mergeCell ref="I6:J6"/>
    <mergeCell ref="K6:L6"/>
    <mergeCell ref="M6:N6"/>
  </mergeCells>
  <phoneticPr fontId="0" type="noConversion"/>
  <pageMargins left="0.25" right="0.25" top="0.75" bottom="0.75" header="0.3" footer="0.3"/>
  <pageSetup orientation="landscape" r:id="rId1"/>
  <headerFooter>
    <oddHeader>&amp;CVasaras miežu saimniecisko īpašību novērtējums 2013.gadā.</oddHeader>
    <oddFooter>&amp;CLapa &amp;P no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F5" sqref="F5"/>
    </sheetView>
  </sheetViews>
  <sheetFormatPr defaultRowHeight="14.25" x14ac:dyDescent="0.2"/>
  <cols>
    <col min="1" max="1" width="3.28515625" style="3" customWidth="1"/>
    <col min="2" max="2" width="11.140625" style="3" customWidth="1"/>
    <col min="3" max="3" width="7.42578125" style="3" customWidth="1"/>
    <col min="4" max="4" width="9" style="3" customWidth="1"/>
    <col min="5" max="6" width="6.85546875" style="3" customWidth="1"/>
    <col min="7" max="7" width="8.42578125" style="3" customWidth="1"/>
    <col min="8" max="8" width="7.85546875" style="3" customWidth="1"/>
    <col min="9" max="9" width="7" style="3" customWidth="1"/>
    <col min="10" max="10" width="5.7109375" style="3" customWidth="1"/>
    <col min="11" max="11" width="5.5703125" style="3" customWidth="1"/>
    <col min="12" max="12" width="6.42578125" style="3" customWidth="1"/>
    <col min="13" max="13" width="7.140625" style="3" customWidth="1"/>
    <col min="14" max="14" width="6.140625" style="3" customWidth="1"/>
    <col min="15" max="15" width="7" style="3" customWidth="1"/>
    <col min="16" max="16" width="6.140625" style="3" customWidth="1"/>
    <col min="17" max="17" width="7" style="3" customWidth="1"/>
    <col min="18" max="18" width="6.7109375" style="3" customWidth="1"/>
    <col min="19" max="19" width="9.85546875" style="3" customWidth="1"/>
    <col min="20" max="16384" width="9.140625" style="3"/>
  </cols>
  <sheetData>
    <row r="2" spans="1:19" ht="15" customHeight="1" x14ac:dyDescent="0.2">
      <c r="A2" s="1"/>
      <c r="B2" s="1"/>
      <c r="C2" s="22" t="s">
        <v>217</v>
      </c>
      <c r="D2" s="1"/>
      <c r="E2" s="1"/>
      <c r="F2" s="1"/>
      <c r="G2" s="1"/>
      <c r="H2" s="1"/>
      <c r="K2" s="1"/>
      <c r="L2" s="1"/>
      <c r="M2" s="1"/>
      <c r="N2" s="1"/>
      <c r="O2" s="1"/>
      <c r="P2" s="1"/>
      <c r="S2" s="1"/>
    </row>
    <row r="4" spans="1:19" ht="15" x14ac:dyDescent="0.2">
      <c r="A4" s="2" t="s">
        <v>207</v>
      </c>
    </row>
    <row r="6" spans="1:19" s="4" customFormat="1" ht="63.75" customHeight="1" x14ac:dyDescent="0.2">
      <c r="A6" s="152" t="s">
        <v>12</v>
      </c>
      <c r="B6" s="152" t="s">
        <v>0</v>
      </c>
      <c r="C6" s="152" t="s">
        <v>211</v>
      </c>
      <c r="D6" s="152"/>
      <c r="E6" s="152"/>
      <c r="F6" s="11" t="s">
        <v>219</v>
      </c>
      <c r="G6" s="11" t="s">
        <v>214</v>
      </c>
      <c r="H6" s="11" t="s">
        <v>136</v>
      </c>
      <c r="I6" s="152" t="s">
        <v>215</v>
      </c>
      <c r="J6" s="152"/>
      <c r="K6" s="152" t="s">
        <v>90</v>
      </c>
      <c r="L6" s="152"/>
      <c r="M6" s="152" t="s">
        <v>212</v>
      </c>
      <c r="N6" s="152"/>
      <c r="O6" s="152" t="s">
        <v>160</v>
      </c>
      <c r="P6" s="152"/>
      <c r="Q6" s="152" t="s">
        <v>213</v>
      </c>
      <c r="R6" s="152"/>
      <c r="S6" s="153" t="s">
        <v>30</v>
      </c>
    </row>
    <row r="7" spans="1:19" s="4" customFormat="1" ht="35.25" customHeight="1" x14ac:dyDescent="0.2">
      <c r="A7" s="152"/>
      <c r="B7" s="152"/>
      <c r="C7" s="12" t="s">
        <v>67</v>
      </c>
      <c r="D7" s="12" t="s">
        <v>44</v>
      </c>
      <c r="E7" s="12" t="s">
        <v>6</v>
      </c>
      <c r="F7" s="12" t="s">
        <v>6</v>
      </c>
      <c r="G7" s="12" t="s">
        <v>59</v>
      </c>
      <c r="H7" s="12" t="s">
        <v>61</v>
      </c>
      <c r="I7" s="12" t="s">
        <v>89</v>
      </c>
      <c r="J7" s="12" t="s">
        <v>6</v>
      </c>
      <c r="K7" s="12" t="s">
        <v>15</v>
      </c>
      <c r="L7" s="13" t="s">
        <v>6</v>
      </c>
      <c r="M7" s="13" t="s">
        <v>63</v>
      </c>
      <c r="N7" s="13" t="s">
        <v>6</v>
      </c>
      <c r="O7" s="12" t="s">
        <v>15</v>
      </c>
      <c r="P7" s="12" t="s">
        <v>6</v>
      </c>
      <c r="Q7" s="12" t="s">
        <v>15</v>
      </c>
      <c r="R7" s="12" t="s">
        <v>6</v>
      </c>
      <c r="S7" s="153"/>
    </row>
    <row r="8" spans="1:19" s="4" customFormat="1" ht="12.75" x14ac:dyDescent="0.2">
      <c r="A8" s="5" t="s">
        <v>216</v>
      </c>
      <c r="S8" s="76"/>
    </row>
    <row r="9" spans="1:19" s="4" customFormat="1" ht="12.75" x14ac:dyDescent="0.2">
      <c r="A9" s="12">
        <v>1</v>
      </c>
      <c r="B9" s="11" t="s">
        <v>156</v>
      </c>
      <c r="C9" s="14">
        <v>4.7</v>
      </c>
      <c r="D9" s="12">
        <v>100</v>
      </c>
      <c r="E9" s="12">
        <v>10</v>
      </c>
      <c r="F9" s="12">
        <v>1</v>
      </c>
      <c r="G9" s="16">
        <v>118</v>
      </c>
      <c r="H9" s="12">
        <v>86</v>
      </c>
      <c r="I9" s="12">
        <v>478</v>
      </c>
      <c r="J9" s="12">
        <v>6</v>
      </c>
      <c r="K9" s="17">
        <v>12.2</v>
      </c>
      <c r="L9" s="12">
        <v>6</v>
      </c>
      <c r="M9" s="14">
        <v>35.909999999999997</v>
      </c>
      <c r="N9" s="16">
        <v>7</v>
      </c>
      <c r="O9" s="12">
        <v>23.2</v>
      </c>
      <c r="P9" s="12">
        <v>6</v>
      </c>
      <c r="Q9" s="12">
        <v>5.9</v>
      </c>
      <c r="R9" s="12">
        <v>9</v>
      </c>
      <c r="S9" s="131">
        <f>E9+J9+L9+N9+P9+R9</f>
        <v>44</v>
      </c>
    </row>
    <row r="10" spans="1:19" s="4" customFormat="1" ht="12.75" x14ac:dyDescent="0.2">
      <c r="A10" s="12">
        <v>2</v>
      </c>
      <c r="B10" s="11" t="s">
        <v>157</v>
      </c>
      <c r="C10" s="14">
        <v>3.41</v>
      </c>
      <c r="D10" s="16">
        <f>(C10*100)/C9</f>
        <v>72.553191489361694</v>
      </c>
      <c r="E10" s="12">
        <v>4</v>
      </c>
      <c r="F10" s="12">
        <v>5</v>
      </c>
      <c r="G10" s="12">
        <v>101</v>
      </c>
      <c r="H10" s="12">
        <v>86</v>
      </c>
      <c r="I10" s="12">
        <v>475</v>
      </c>
      <c r="J10" s="12">
        <v>6</v>
      </c>
      <c r="K10" s="17">
        <v>11.1</v>
      </c>
      <c r="L10" s="12">
        <v>5</v>
      </c>
      <c r="M10" s="14">
        <v>37.82</v>
      </c>
      <c r="N10" s="12">
        <v>7</v>
      </c>
      <c r="O10" s="12">
        <v>27.2</v>
      </c>
      <c r="P10" s="12">
        <v>4</v>
      </c>
      <c r="Q10" s="12">
        <v>4.2</v>
      </c>
      <c r="R10" s="12">
        <v>5</v>
      </c>
      <c r="S10" s="131">
        <f>E10+J10+L10+N10+P10+R10</f>
        <v>31</v>
      </c>
    </row>
    <row r="11" spans="1:19" s="4" customFormat="1" ht="12.75" x14ac:dyDescent="0.2">
      <c r="A11" s="12">
        <v>3</v>
      </c>
      <c r="B11" s="11" t="s">
        <v>158</v>
      </c>
      <c r="C11" s="12">
        <v>3.02</v>
      </c>
      <c r="D11" s="16">
        <f>(C11*100)/C9</f>
        <v>64.255319148936167</v>
      </c>
      <c r="E11" s="12">
        <v>2</v>
      </c>
      <c r="F11" s="12">
        <v>8</v>
      </c>
      <c r="G11" s="12">
        <v>114</v>
      </c>
      <c r="H11" s="12">
        <v>86</v>
      </c>
      <c r="I11" s="12">
        <v>481</v>
      </c>
      <c r="J11" s="12">
        <v>7</v>
      </c>
      <c r="K11" s="17">
        <v>11.8</v>
      </c>
      <c r="L11" s="12">
        <v>5</v>
      </c>
      <c r="M11" s="14">
        <v>38.25</v>
      </c>
      <c r="N11" s="12">
        <v>7</v>
      </c>
      <c r="O11" s="12">
        <v>24.4</v>
      </c>
      <c r="P11" s="12">
        <v>5</v>
      </c>
      <c r="Q11" s="12">
        <v>4.7</v>
      </c>
      <c r="R11" s="12">
        <v>8</v>
      </c>
      <c r="S11" s="131">
        <f>E11+J11+L11+N11+P11+R11</f>
        <v>34</v>
      </c>
    </row>
    <row r="12" spans="1:19" s="4" customFormat="1" ht="12.75" x14ac:dyDescent="0.2">
      <c r="A12" s="12">
        <v>4</v>
      </c>
      <c r="B12" s="11" t="s">
        <v>159</v>
      </c>
      <c r="C12" s="12">
        <v>3.78</v>
      </c>
      <c r="D12" s="16">
        <f>(C12*100)/C9</f>
        <v>80.425531914893611</v>
      </c>
      <c r="E12" s="12">
        <v>6</v>
      </c>
      <c r="F12" s="12">
        <v>8</v>
      </c>
      <c r="G12" s="12">
        <v>122</v>
      </c>
      <c r="H12" s="12">
        <v>86</v>
      </c>
      <c r="I12" s="12">
        <v>489</v>
      </c>
      <c r="J12" s="12">
        <v>7</v>
      </c>
      <c r="K12" s="17">
        <v>11</v>
      </c>
      <c r="L12" s="12">
        <v>4</v>
      </c>
      <c r="M12" s="14">
        <v>42.88</v>
      </c>
      <c r="N12" s="12">
        <v>8</v>
      </c>
      <c r="O12" s="17">
        <v>24</v>
      </c>
      <c r="P12" s="12">
        <v>5</v>
      </c>
      <c r="Q12" s="17">
        <v>3.7</v>
      </c>
      <c r="R12" s="12">
        <v>3</v>
      </c>
      <c r="S12" s="131">
        <f>E12+J12+L12+N12+P12+R12</f>
        <v>33</v>
      </c>
    </row>
    <row r="13" spans="1:19" s="4" customFormat="1" ht="12.75" x14ac:dyDescent="0.2">
      <c r="A13" s="5" t="s">
        <v>117</v>
      </c>
      <c r="S13" s="127"/>
    </row>
    <row r="14" spans="1:19" s="4" customFormat="1" ht="12.75" x14ac:dyDescent="0.2">
      <c r="A14" s="12">
        <v>1</v>
      </c>
      <c r="B14" s="11" t="s">
        <v>156</v>
      </c>
      <c r="C14" s="14">
        <v>6.53</v>
      </c>
      <c r="D14" s="12">
        <v>100</v>
      </c>
      <c r="E14" s="12">
        <v>10</v>
      </c>
      <c r="F14" s="12">
        <v>8</v>
      </c>
      <c r="G14" s="12">
        <v>95</v>
      </c>
      <c r="H14" s="12">
        <v>94</v>
      </c>
      <c r="I14" s="16">
        <v>538</v>
      </c>
      <c r="J14" s="16">
        <v>9</v>
      </c>
      <c r="K14" s="17">
        <v>10</v>
      </c>
      <c r="L14" s="12">
        <v>3</v>
      </c>
      <c r="M14" s="17">
        <v>36.1</v>
      </c>
      <c r="N14" s="16">
        <v>7</v>
      </c>
      <c r="O14" s="17">
        <v>23.8</v>
      </c>
      <c r="P14" s="12">
        <v>6</v>
      </c>
      <c r="Q14" s="17">
        <v>6.3</v>
      </c>
      <c r="R14" s="16">
        <v>9</v>
      </c>
      <c r="S14" s="131">
        <f>E14+J14+L14+N14+P14+R14</f>
        <v>44</v>
      </c>
    </row>
    <row r="15" spans="1:19" s="4" customFormat="1" ht="12.75" x14ac:dyDescent="0.2">
      <c r="A15" s="12">
        <v>2</v>
      </c>
      <c r="B15" s="11" t="s">
        <v>157</v>
      </c>
      <c r="C15" s="12">
        <v>6.55</v>
      </c>
      <c r="D15" s="16">
        <f>(C15*100)/C14</f>
        <v>100.3062787136294</v>
      </c>
      <c r="E15" s="12">
        <v>10</v>
      </c>
      <c r="F15" s="12">
        <v>9</v>
      </c>
      <c r="G15" s="12">
        <v>86</v>
      </c>
      <c r="H15" s="12">
        <v>94</v>
      </c>
      <c r="I15" s="12">
        <v>524</v>
      </c>
      <c r="J15" s="12">
        <v>9</v>
      </c>
      <c r="K15" s="17">
        <v>9</v>
      </c>
      <c r="L15" s="12">
        <v>2</v>
      </c>
      <c r="M15" s="12">
        <v>37.5</v>
      </c>
      <c r="N15" s="12">
        <v>7</v>
      </c>
      <c r="O15" s="17">
        <v>25</v>
      </c>
      <c r="P15" s="12">
        <v>5</v>
      </c>
      <c r="Q15" s="12">
        <v>5.2</v>
      </c>
      <c r="R15" s="12">
        <v>9</v>
      </c>
      <c r="S15" s="131">
        <f>E15+J15+L15+N15+P15+R15</f>
        <v>42</v>
      </c>
    </row>
    <row r="16" spans="1:19" s="4" customFormat="1" ht="12.75" x14ac:dyDescent="0.2">
      <c r="A16" s="12">
        <v>3</v>
      </c>
      <c r="B16" s="11" t="s">
        <v>158</v>
      </c>
      <c r="C16" s="14">
        <v>6.7</v>
      </c>
      <c r="D16" s="16">
        <f>(C16*100)/C14</f>
        <v>102.60336906584992</v>
      </c>
      <c r="E16" s="12">
        <v>10</v>
      </c>
      <c r="F16" s="12">
        <v>9</v>
      </c>
      <c r="G16" s="12">
        <v>83</v>
      </c>
      <c r="H16" s="12">
        <v>94</v>
      </c>
      <c r="I16" s="12">
        <v>525</v>
      </c>
      <c r="J16" s="12">
        <v>9</v>
      </c>
      <c r="K16" s="17">
        <v>8</v>
      </c>
      <c r="L16" s="12">
        <v>2</v>
      </c>
      <c r="M16" s="12">
        <v>35.299999999999997</v>
      </c>
      <c r="N16" s="12">
        <v>6</v>
      </c>
      <c r="O16" s="17">
        <v>23</v>
      </c>
      <c r="P16" s="12">
        <v>6</v>
      </c>
      <c r="Q16" s="12">
        <v>5.3</v>
      </c>
      <c r="R16" s="12">
        <v>9</v>
      </c>
      <c r="S16" s="131">
        <f>E16+J16+L16+N16+P16+R16</f>
        <v>42</v>
      </c>
    </row>
    <row r="17" spans="1:19" s="4" customFormat="1" ht="12.75" x14ac:dyDescent="0.2">
      <c r="A17" s="12">
        <v>4</v>
      </c>
      <c r="B17" s="11" t="s">
        <v>159</v>
      </c>
      <c r="C17" s="12">
        <v>7.66</v>
      </c>
      <c r="D17" s="16">
        <f>(C17*100)/C14</f>
        <v>117.30474732006125</v>
      </c>
      <c r="E17" s="12">
        <v>14</v>
      </c>
      <c r="F17" s="12">
        <v>9</v>
      </c>
      <c r="G17" s="12">
        <v>87</v>
      </c>
      <c r="H17" s="12">
        <v>94</v>
      </c>
      <c r="I17" s="12">
        <v>531</v>
      </c>
      <c r="J17" s="12">
        <v>9</v>
      </c>
      <c r="K17" s="17">
        <v>8.1</v>
      </c>
      <c r="L17" s="12">
        <v>2</v>
      </c>
      <c r="M17" s="17">
        <v>45</v>
      </c>
      <c r="N17" s="12">
        <v>8</v>
      </c>
      <c r="O17" s="17">
        <v>24.2</v>
      </c>
      <c r="P17" s="12">
        <v>5</v>
      </c>
      <c r="Q17" s="12">
        <v>4.9000000000000004</v>
      </c>
      <c r="R17" s="12">
        <v>8</v>
      </c>
      <c r="S17" s="131">
        <f>E17+J17+L17+N17+P17+R17</f>
        <v>46</v>
      </c>
    </row>
    <row r="18" spans="1:19" s="4" customFormat="1" ht="12.75" x14ac:dyDescent="0.2">
      <c r="A18" s="5" t="s">
        <v>29</v>
      </c>
      <c r="S18" s="127"/>
    </row>
    <row r="19" spans="1:19" s="4" customFormat="1" ht="12.75" x14ac:dyDescent="0.2">
      <c r="A19" s="12">
        <v>1</v>
      </c>
      <c r="B19" s="11" t="s">
        <v>156</v>
      </c>
      <c r="C19" s="14">
        <f>(C9+C14)/2</f>
        <v>5.6150000000000002</v>
      </c>
      <c r="D19" s="12">
        <v>100</v>
      </c>
      <c r="E19" s="12">
        <v>10</v>
      </c>
      <c r="F19" s="16">
        <f t="shared" ref="F19:G22" si="0">(F9+F14)/2</f>
        <v>4.5</v>
      </c>
      <c r="G19" s="16">
        <f t="shared" si="0"/>
        <v>106.5</v>
      </c>
      <c r="H19" s="16">
        <f t="shared" ref="H19:I22" si="1">(H9+H14)/2</f>
        <v>90</v>
      </c>
      <c r="I19" s="16">
        <f t="shared" si="1"/>
        <v>508</v>
      </c>
      <c r="J19" s="12">
        <v>9</v>
      </c>
      <c r="K19" s="17">
        <f>(K9+K14)/2</f>
        <v>11.1</v>
      </c>
      <c r="L19" s="12">
        <v>5</v>
      </c>
      <c r="M19" s="17">
        <f>(M9+M14)/2</f>
        <v>36.004999999999995</v>
      </c>
      <c r="N19" s="12">
        <v>7</v>
      </c>
      <c r="O19" s="17">
        <f>(O9+O14)/2</f>
        <v>23.5</v>
      </c>
      <c r="P19" s="12">
        <v>6</v>
      </c>
      <c r="Q19" s="17">
        <f>(Q9+Q14)/2</f>
        <v>6.1</v>
      </c>
      <c r="R19" s="12">
        <v>9</v>
      </c>
      <c r="S19" s="131">
        <f>E19+J19+L19+N19+P19+R19</f>
        <v>46</v>
      </c>
    </row>
    <row r="20" spans="1:19" s="4" customFormat="1" ht="12.75" x14ac:dyDescent="0.2">
      <c r="A20" s="12">
        <v>2</v>
      </c>
      <c r="B20" s="11" t="s">
        <v>157</v>
      </c>
      <c r="C20" s="14">
        <f>(C10+C15)/2</f>
        <v>4.9800000000000004</v>
      </c>
      <c r="D20" s="16">
        <f>(C20*100)/C19</f>
        <v>88.691006233303654</v>
      </c>
      <c r="E20" s="12">
        <v>8</v>
      </c>
      <c r="F20" s="16">
        <f t="shared" si="0"/>
        <v>7</v>
      </c>
      <c r="G20" s="16">
        <f t="shared" si="0"/>
        <v>93.5</v>
      </c>
      <c r="H20" s="16">
        <f>(H10+H15)/2</f>
        <v>90</v>
      </c>
      <c r="I20" s="16">
        <f t="shared" si="1"/>
        <v>499.5</v>
      </c>
      <c r="J20" s="12">
        <v>8</v>
      </c>
      <c r="K20" s="17">
        <f>(K10+K15)/2</f>
        <v>10.050000000000001</v>
      </c>
      <c r="L20" s="12">
        <v>4</v>
      </c>
      <c r="M20" s="17">
        <f>(M10+M15)/2</f>
        <v>37.659999999999997</v>
      </c>
      <c r="N20" s="12">
        <v>7</v>
      </c>
      <c r="O20" s="17">
        <f>(O10+O15)/2</f>
        <v>26.1</v>
      </c>
      <c r="P20" s="12">
        <v>4</v>
      </c>
      <c r="Q20" s="17">
        <f>(Q10+Q15)/2</f>
        <v>4.7</v>
      </c>
      <c r="R20" s="12">
        <v>8</v>
      </c>
      <c r="S20" s="131">
        <f>E20+J20+L20+N20+P20+R20</f>
        <v>39</v>
      </c>
    </row>
    <row r="21" spans="1:19" s="4" customFormat="1" ht="12.75" x14ac:dyDescent="0.2">
      <c r="A21" s="12">
        <v>3</v>
      </c>
      <c r="B21" s="11" t="s">
        <v>158</v>
      </c>
      <c r="C21" s="14">
        <f>(C11+C16)/2</f>
        <v>4.8600000000000003</v>
      </c>
      <c r="D21" s="16">
        <f>(C21*100)/C19</f>
        <v>86.553873552983092</v>
      </c>
      <c r="E21" s="12">
        <v>8</v>
      </c>
      <c r="F21" s="16">
        <f t="shared" si="0"/>
        <v>8.5</v>
      </c>
      <c r="G21" s="16">
        <f t="shared" si="0"/>
        <v>98.5</v>
      </c>
      <c r="H21" s="16">
        <f>(H11+H16)/2</f>
        <v>90</v>
      </c>
      <c r="I21" s="16">
        <f t="shared" si="1"/>
        <v>503</v>
      </c>
      <c r="J21" s="12">
        <v>9</v>
      </c>
      <c r="K21" s="17">
        <f>(K11+K16)/2</f>
        <v>9.9</v>
      </c>
      <c r="L21" s="12">
        <v>3</v>
      </c>
      <c r="M21" s="17">
        <f>(M11+M16)/2</f>
        <v>36.774999999999999</v>
      </c>
      <c r="N21" s="12">
        <v>7</v>
      </c>
      <c r="O21" s="17">
        <f>(O11+O16)/2</f>
        <v>23.7</v>
      </c>
      <c r="P21" s="12">
        <v>6</v>
      </c>
      <c r="Q21" s="17">
        <f>(Q11+Q16)/2</f>
        <v>5</v>
      </c>
      <c r="R21" s="12">
        <v>8</v>
      </c>
      <c r="S21" s="131">
        <f>E21+J21+L21+N21+P21+R21</f>
        <v>41</v>
      </c>
    </row>
    <row r="22" spans="1:19" s="4" customFormat="1" ht="12.75" x14ac:dyDescent="0.2">
      <c r="A22" s="12">
        <v>4</v>
      </c>
      <c r="B22" s="11" t="s">
        <v>159</v>
      </c>
      <c r="C22" s="14">
        <f>(C12+C17)/2</f>
        <v>5.72</v>
      </c>
      <c r="D22" s="16">
        <f>(C22*100)/C19</f>
        <v>101.8699910952805</v>
      </c>
      <c r="E22" s="12">
        <v>10</v>
      </c>
      <c r="F22" s="16">
        <f t="shared" si="0"/>
        <v>8.5</v>
      </c>
      <c r="G22" s="16">
        <f t="shared" si="0"/>
        <v>104.5</v>
      </c>
      <c r="H22" s="16">
        <f>(H12+H17)/2</f>
        <v>90</v>
      </c>
      <c r="I22" s="16">
        <f t="shared" si="1"/>
        <v>510</v>
      </c>
      <c r="J22" s="12">
        <v>9</v>
      </c>
      <c r="K22" s="17">
        <f>(K12+K17)/2</f>
        <v>9.5500000000000007</v>
      </c>
      <c r="L22" s="12">
        <v>3</v>
      </c>
      <c r="M22" s="17">
        <f>(M12+M17)/2</f>
        <v>43.94</v>
      </c>
      <c r="N22" s="12">
        <v>8</v>
      </c>
      <c r="O22" s="17">
        <f>(O12+O17)/2</f>
        <v>24.1</v>
      </c>
      <c r="P22" s="12">
        <v>5</v>
      </c>
      <c r="Q22" s="17">
        <f>(Q12+Q17)/2</f>
        <v>4.3000000000000007</v>
      </c>
      <c r="R22" s="12">
        <v>6</v>
      </c>
      <c r="S22" s="131">
        <f>E22+J22+L22+N22+P22+R22</f>
        <v>41</v>
      </c>
    </row>
    <row r="23" spans="1:19" x14ac:dyDescent="0.2">
      <c r="S23" s="132"/>
    </row>
    <row r="25" spans="1:19" ht="15.75" x14ac:dyDescent="0.25">
      <c r="B25" s="133" t="s">
        <v>218</v>
      </c>
      <c r="C25" s="134"/>
      <c r="D25" s="134"/>
      <c r="E25" s="134"/>
    </row>
    <row r="26" spans="1:19" ht="15.75" x14ac:dyDescent="0.25">
      <c r="B26" s="133"/>
    </row>
  </sheetData>
  <mergeCells count="9">
    <mergeCell ref="O6:P6"/>
    <mergeCell ref="Q6:R6"/>
    <mergeCell ref="S6:S7"/>
    <mergeCell ref="A6:A7"/>
    <mergeCell ref="B6:B7"/>
    <mergeCell ref="C6:E6"/>
    <mergeCell ref="I6:J6"/>
    <mergeCell ref="K6:L6"/>
    <mergeCell ref="M6:N6"/>
  </mergeCells>
  <phoneticPr fontId="0" type="noConversion"/>
  <pageMargins left="0.25" right="0.25" top="0.75" bottom="0.75" header="0.3" footer="0.3"/>
  <pageSetup orientation="landscape" r:id="rId1"/>
  <headerFooter>
    <oddHeader>&amp;CAuzu saimniecisko īpašību novērtējums 2013.gadā.</oddHeader>
    <oddFooter>&amp;CLapa &amp;P no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8"/>
  <sheetViews>
    <sheetView workbookViewId="0">
      <selection activeCell="Q10" sqref="Q10"/>
    </sheetView>
  </sheetViews>
  <sheetFormatPr defaultRowHeight="14.25" x14ac:dyDescent="0.2"/>
  <cols>
    <col min="1" max="1" width="3.140625" style="3" customWidth="1"/>
    <col min="2" max="2" width="17.85546875" style="3" customWidth="1"/>
    <col min="3" max="3" width="7.140625" style="3" customWidth="1"/>
    <col min="4" max="4" width="10" style="3" customWidth="1"/>
    <col min="5" max="5" width="6.5703125" style="3" customWidth="1"/>
    <col min="6" max="6" width="7.28515625" style="3" customWidth="1"/>
    <col min="7" max="7" width="8.140625" style="3" customWidth="1"/>
    <col min="8" max="8" width="8.28515625" style="3" customWidth="1"/>
    <col min="9" max="9" width="5.85546875" style="3" customWidth="1"/>
    <col min="10" max="10" width="6.28515625" style="3" customWidth="1"/>
    <col min="11" max="11" width="9.85546875" style="3" customWidth="1"/>
    <col min="12" max="13" width="6.28515625" style="3" customWidth="1"/>
    <col min="14" max="14" width="7.7109375" style="3" customWidth="1"/>
    <col min="15" max="15" width="6.7109375" style="3" customWidth="1"/>
    <col min="16" max="16" width="7.28515625" style="3" customWidth="1"/>
    <col min="17" max="17" width="8.140625" style="3" customWidth="1"/>
    <col min="18" max="16384" width="9.140625" style="3"/>
  </cols>
  <sheetData>
    <row r="2" spans="1:17" x14ac:dyDescent="0.2">
      <c r="C2" s="22" t="s">
        <v>217</v>
      </c>
    </row>
    <row r="4" spans="1:17" ht="15" x14ac:dyDescent="0.2">
      <c r="A4" s="2" t="s">
        <v>208</v>
      </c>
    </row>
    <row r="6" spans="1:17" s="4" customFormat="1" ht="63.75" customHeight="1" x14ac:dyDescent="0.2">
      <c r="A6" s="152" t="s">
        <v>12</v>
      </c>
      <c r="B6" s="152" t="s">
        <v>0</v>
      </c>
      <c r="C6" s="152" t="s">
        <v>66</v>
      </c>
      <c r="D6" s="152"/>
      <c r="E6" s="152"/>
      <c r="F6" s="11" t="s">
        <v>49</v>
      </c>
      <c r="G6" s="11" t="s">
        <v>58</v>
      </c>
      <c r="H6" s="11" t="s">
        <v>60</v>
      </c>
      <c r="I6" s="11" t="s">
        <v>65</v>
      </c>
      <c r="J6" s="152" t="s">
        <v>62</v>
      </c>
      <c r="K6" s="152"/>
      <c r="L6" s="152"/>
      <c r="M6" s="11" t="s">
        <v>64</v>
      </c>
      <c r="N6" s="152" t="s">
        <v>48</v>
      </c>
      <c r="O6" s="152"/>
      <c r="P6" s="152" t="s">
        <v>116</v>
      </c>
      <c r="Q6" s="153" t="s">
        <v>30</v>
      </c>
    </row>
    <row r="7" spans="1:17" s="4" customFormat="1" ht="29.25" customHeight="1" x14ac:dyDescent="0.2">
      <c r="A7" s="152"/>
      <c r="B7" s="152"/>
      <c r="C7" s="12" t="s">
        <v>67</v>
      </c>
      <c r="D7" s="12" t="s">
        <v>44</v>
      </c>
      <c r="E7" s="12" t="s">
        <v>6</v>
      </c>
      <c r="F7" s="12" t="s">
        <v>6</v>
      </c>
      <c r="G7" s="12" t="s">
        <v>59</v>
      </c>
      <c r="H7" s="12" t="s">
        <v>61</v>
      </c>
      <c r="I7" s="12" t="s">
        <v>15</v>
      </c>
      <c r="J7" s="12" t="s">
        <v>68</v>
      </c>
      <c r="K7" s="13" t="s">
        <v>44</v>
      </c>
      <c r="L7" s="13" t="s">
        <v>6</v>
      </c>
      <c r="M7" s="13" t="s">
        <v>63</v>
      </c>
      <c r="N7" s="12" t="s">
        <v>47</v>
      </c>
      <c r="O7" s="12" t="s">
        <v>6</v>
      </c>
      <c r="P7" s="152"/>
      <c r="Q7" s="153"/>
    </row>
    <row r="8" spans="1:17" s="4" customFormat="1" ht="12.75" x14ac:dyDescent="0.2">
      <c r="A8" s="5" t="s">
        <v>69</v>
      </c>
      <c r="Q8" s="135"/>
    </row>
    <row r="9" spans="1:17" s="4" customFormat="1" ht="12.75" x14ac:dyDescent="0.2">
      <c r="A9" s="5" t="s">
        <v>234</v>
      </c>
      <c r="Q9" s="135"/>
    </row>
    <row r="10" spans="1:17" s="4" customFormat="1" ht="12.75" x14ac:dyDescent="0.2">
      <c r="A10" s="12">
        <v>1</v>
      </c>
      <c r="B10" s="11" t="s">
        <v>245</v>
      </c>
      <c r="C10" s="12">
        <v>2.72</v>
      </c>
      <c r="D10" s="12">
        <v>100</v>
      </c>
      <c r="E10" s="12">
        <v>5</v>
      </c>
      <c r="F10" s="12">
        <v>9</v>
      </c>
      <c r="G10" s="12">
        <v>110</v>
      </c>
      <c r="H10" s="12">
        <v>101</v>
      </c>
      <c r="I10" s="12">
        <v>45.3</v>
      </c>
      <c r="J10" s="14">
        <f>(I10*C10)/100</f>
        <v>1.2321600000000001</v>
      </c>
      <c r="K10" s="12">
        <v>100</v>
      </c>
      <c r="L10" s="12">
        <v>5</v>
      </c>
      <c r="M10" s="12">
        <v>4.43</v>
      </c>
      <c r="N10" s="12">
        <v>21.11</v>
      </c>
      <c r="O10" s="12">
        <v>6</v>
      </c>
      <c r="P10" s="12">
        <v>675</v>
      </c>
      <c r="Q10" s="147">
        <f>E10+F10+L10+O10</f>
        <v>25</v>
      </c>
    </row>
    <row r="11" spans="1:17" s="4" customFormat="1" ht="12.75" x14ac:dyDescent="0.2">
      <c r="A11" s="12">
        <v>2</v>
      </c>
      <c r="B11" s="11" t="s">
        <v>123</v>
      </c>
      <c r="C11" s="12">
        <v>2.75</v>
      </c>
      <c r="D11" s="16">
        <f>(C11*D10)/C10</f>
        <v>101.10294117647058</v>
      </c>
      <c r="E11" s="12">
        <v>5</v>
      </c>
      <c r="F11" s="12">
        <v>9</v>
      </c>
      <c r="G11" s="12">
        <v>105</v>
      </c>
      <c r="H11" s="12">
        <v>99</v>
      </c>
      <c r="I11" s="12">
        <v>45.7</v>
      </c>
      <c r="J11" s="14">
        <f>(I11*C11)/100</f>
        <v>1.25675</v>
      </c>
      <c r="K11" s="16">
        <f>(J11*K10)/J10</f>
        <v>101.99568237891181</v>
      </c>
      <c r="L11" s="12">
        <v>5</v>
      </c>
      <c r="M11" s="12">
        <v>4.17</v>
      </c>
      <c r="N11" s="12">
        <v>20.85</v>
      </c>
      <c r="O11" s="12">
        <v>6</v>
      </c>
      <c r="P11" s="12">
        <v>647</v>
      </c>
      <c r="Q11" s="147">
        <f>E11+F11+L11+O11</f>
        <v>25</v>
      </c>
    </row>
    <row r="12" spans="1:17" s="4" customFormat="1" ht="12.75" x14ac:dyDescent="0.2">
      <c r="A12" s="7"/>
      <c r="B12" s="8"/>
      <c r="C12" s="7"/>
      <c r="D12" s="9"/>
      <c r="E12" s="7"/>
      <c r="F12" s="7"/>
      <c r="G12" s="7"/>
      <c r="H12" s="7"/>
      <c r="I12" s="7"/>
      <c r="J12" s="10"/>
      <c r="K12" s="9"/>
      <c r="L12" s="7"/>
      <c r="M12" s="7"/>
      <c r="N12" s="7"/>
      <c r="O12" s="7"/>
      <c r="P12" s="7"/>
      <c r="Q12" s="144"/>
    </row>
    <row r="13" spans="1:17" s="4" customFormat="1" ht="12.75" x14ac:dyDescent="0.2">
      <c r="A13" s="5" t="s">
        <v>216</v>
      </c>
      <c r="Q13" s="144"/>
    </row>
    <row r="14" spans="1:17" s="4" customFormat="1" ht="12.75" x14ac:dyDescent="0.2">
      <c r="A14" s="12">
        <v>1</v>
      </c>
      <c r="B14" s="11" t="s">
        <v>245</v>
      </c>
      <c r="C14" s="12">
        <v>3.16</v>
      </c>
      <c r="D14" s="12">
        <v>100</v>
      </c>
      <c r="E14" s="12">
        <v>5</v>
      </c>
      <c r="F14" s="12">
        <v>9</v>
      </c>
      <c r="G14" s="12">
        <v>127</v>
      </c>
      <c r="H14" s="12">
        <v>101</v>
      </c>
      <c r="I14" s="12">
        <v>47.1</v>
      </c>
      <c r="J14" s="14">
        <f>(I14*C14)/100</f>
        <v>1.4883600000000001</v>
      </c>
      <c r="K14" s="12">
        <v>100</v>
      </c>
      <c r="L14" s="12">
        <v>5</v>
      </c>
      <c r="M14" s="14">
        <v>4.5999999999999996</v>
      </c>
      <c r="N14" s="12">
        <v>22.82</v>
      </c>
      <c r="O14" s="12">
        <v>8</v>
      </c>
      <c r="P14" s="16">
        <v>655</v>
      </c>
      <c r="Q14" s="147">
        <f>E14+F14+L14+O14</f>
        <v>27</v>
      </c>
    </row>
    <row r="15" spans="1:17" s="4" customFormat="1" ht="12.75" x14ac:dyDescent="0.2">
      <c r="A15" s="12">
        <v>2</v>
      </c>
      <c r="B15" s="11" t="s">
        <v>123</v>
      </c>
      <c r="C15" s="12">
        <v>2.89</v>
      </c>
      <c r="D15" s="16">
        <f>(C15*D14)/C14</f>
        <v>91.455696202531641</v>
      </c>
      <c r="E15" s="12">
        <v>4</v>
      </c>
      <c r="F15" s="12">
        <v>9</v>
      </c>
      <c r="G15" s="12">
        <v>137</v>
      </c>
      <c r="H15" s="12">
        <v>101</v>
      </c>
      <c r="I15" s="12">
        <v>48.2</v>
      </c>
      <c r="J15" s="14">
        <f>(I15*C15)/100</f>
        <v>1.3929800000000001</v>
      </c>
      <c r="K15" s="16">
        <f>(J15*K14)/J14</f>
        <v>93.591604181783964</v>
      </c>
      <c r="L15" s="12">
        <v>4</v>
      </c>
      <c r="M15" s="12">
        <v>4.6900000000000004</v>
      </c>
      <c r="N15" s="12">
        <v>21.87</v>
      </c>
      <c r="O15" s="12">
        <v>7</v>
      </c>
      <c r="P15" s="12">
        <v>643</v>
      </c>
      <c r="Q15" s="147">
        <f>E15+F15+L15+O15</f>
        <v>24</v>
      </c>
    </row>
    <row r="16" spans="1:17" s="4" customFormat="1" ht="12.75" x14ac:dyDescent="0.2">
      <c r="A16" s="7"/>
      <c r="B16" s="8"/>
      <c r="C16" s="7"/>
      <c r="D16" s="9"/>
      <c r="E16" s="7"/>
      <c r="F16" s="7"/>
      <c r="G16" s="7"/>
      <c r="H16" s="7"/>
      <c r="I16" s="7"/>
      <c r="J16" s="10"/>
      <c r="K16" s="9"/>
      <c r="L16" s="7"/>
      <c r="M16" s="7"/>
      <c r="N16" s="7"/>
      <c r="O16" s="7"/>
      <c r="P16" s="7"/>
      <c r="Q16" s="144"/>
    </row>
    <row r="17" spans="1:17" s="4" customFormat="1" ht="12.75" x14ac:dyDescent="0.2">
      <c r="A17" s="5" t="s">
        <v>115</v>
      </c>
      <c r="Q17" s="144"/>
    </row>
    <row r="18" spans="1:17" s="4" customFormat="1" ht="12.75" x14ac:dyDescent="0.2">
      <c r="A18" s="12">
        <v>1</v>
      </c>
      <c r="B18" s="11" t="s">
        <v>245</v>
      </c>
      <c r="C18" s="12">
        <v>1.01</v>
      </c>
      <c r="D18" s="12">
        <v>100</v>
      </c>
      <c r="E18" s="12">
        <v>5</v>
      </c>
      <c r="F18" s="12">
        <v>8</v>
      </c>
      <c r="G18" s="12">
        <v>103</v>
      </c>
      <c r="H18" s="12">
        <v>93</v>
      </c>
      <c r="I18" s="17">
        <v>45</v>
      </c>
      <c r="J18" s="14">
        <f>(I18*C18)/100</f>
        <v>0.45450000000000002</v>
      </c>
      <c r="K18" s="12">
        <v>100</v>
      </c>
      <c r="L18" s="12">
        <v>5</v>
      </c>
      <c r="M18" s="14">
        <v>5.2</v>
      </c>
      <c r="N18" s="11">
        <v>28.27</v>
      </c>
      <c r="O18" s="12">
        <v>9</v>
      </c>
      <c r="P18" s="12">
        <v>612</v>
      </c>
      <c r="Q18" s="147">
        <f>E18+F18+L18+O18</f>
        <v>27</v>
      </c>
    </row>
    <row r="19" spans="1:17" s="4" customFormat="1" ht="12.75" x14ac:dyDescent="0.2">
      <c r="A19" s="12">
        <v>2</v>
      </c>
      <c r="B19" s="11" t="s">
        <v>123</v>
      </c>
      <c r="C19" s="14">
        <v>0.56999999999999995</v>
      </c>
      <c r="D19" s="16">
        <f>(C19*D18)/C18</f>
        <v>56.435643564356425</v>
      </c>
      <c r="E19" s="12">
        <v>1</v>
      </c>
      <c r="F19" s="12">
        <v>8</v>
      </c>
      <c r="G19" s="12">
        <v>101</v>
      </c>
      <c r="H19" s="12">
        <v>89</v>
      </c>
      <c r="I19" s="12">
        <v>45.8</v>
      </c>
      <c r="J19" s="14">
        <f>(I19*C19)/100</f>
        <v>0.26105999999999996</v>
      </c>
      <c r="K19" s="16">
        <f>(J19*K18)/J18</f>
        <v>57.438943894389425</v>
      </c>
      <c r="L19" s="12">
        <v>1</v>
      </c>
      <c r="M19" s="14">
        <v>5.3</v>
      </c>
      <c r="N19" s="11">
        <v>24.92</v>
      </c>
      <c r="O19" s="12">
        <v>9</v>
      </c>
      <c r="P19" s="12">
        <v>605</v>
      </c>
      <c r="Q19" s="147">
        <f>E19+F19+L19+O19</f>
        <v>19</v>
      </c>
    </row>
    <row r="20" spans="1:17" s="4" customFormat="1" ht="12.75" x14ac:dyDescent="0.2">
      <c r="A20" s="7"/>
      <c r="B20" s="8"/>
      <c r="C20" s="10"/>
      <c r="D20" s="9"/>
      <c r="E20" s="7"/>
      <c r="F20" s="7"/>
      <c r="G20" s="7"/>
      <c r="H20" s="7"/>
      <c r="I20" s="7"/>
      <c r="J20" s="10"/>
      <c r="K20" s="9"/>
      <c r="L20" s="7"/>
      <c r="M20" s="10"/>
      <c r="N20" s="8"/>
      <c r="O20" s="7"/>
      <c r="P20" s="7"/>
      <c r="Q20" s="144"/>
    </row>
    <row r="21" spans="1:17" s="4" customFormat="1" ht="12.75" x14ac:dyDescent="0.2">
      <c r="A21" s="5" t="s">
        <v>29</v>
      </c>
      <c r="O21" s="19"/>
      <c r="Q21" s="144"/>
    </row>
    <row r="22" spans="1:17" s="4" customFormat="1" ht="12.75" x14ac:dyDescent="0.2">
      <c r="A22" s="12">
        <v>1</v>
      </c>
      <c r="B22" s="11" t="s">
        <v>245</v>
      </c>
      <c r="C22" s="14">
        <f>(C10+C14+C18)/3</f>
        <v>2.2966666666666669</v>
      </c>
      <c r="D22" s="12">
        <v>100</v>
      </c>
      <c r="E22" s="12">
        <v>5</v>
      </c>
      <c r="F22" s="16">
        <f t="shared" ref="F22:I23" si="0">(F10+F14+F18)/3</f>
        <v>8.6666666666666661</v>
      </c>
      <c r="G22" s="16">
        <f t="shared" si="0"/>
        <v>113.33333333333333</v>
      </c>
      <c r="H22" s="16">
        <f t="shared" si="0"/>
        <v>98.333333333333329</v>
      </c>
      <c r="I22" s="17">
        <f t="shared" si="0"/>
        <v>45.800000000000004</v>
      </c>
      <c r="J22" s="14">
        <f>(I22*C22)/100</f>
        <v>1.0518733333333337</v>
      </c>
      <c r="K22" s="12">
        <v>100</v>
      </c>
      <c r="L22" s="12">
        <v>5</v>
      </c>
      <c r="M22" s="14">
        <f>(M10+M14+M18)/3</f>
        <v>4.7433333333333332</v>
      </c>
      <c r="N22" s="14">
        <f>(N10+N14+N18)/3</f>
        <v>24.066666666666666</v>
      </c>
      <c r="O22" s="12">
        <v>9</v>
      </c>
      <c r="P22" s="16">
        <f>(P10+P14+P18)/3</f>
        <v>647.33333333333337</v>
      </c>
      <c r="Q22" s="131">
        <f>E22+F22+L22+O22</f>
        <v>27.666666666666664</v>
      </c>
    </row>
    <row r="23" spans="1:17" s="4" customFormat="1" ht="12.75" x14ac:dyDescent="0.2">
      <c r="A23" s="12">
        <v>2</v>
      </c>
      <c r="B23" s="11" t="s">
        <v>123</v>
      </c>
      <c r="C23" s="12">
        <f>(C11+C15+C19)/3</f>
        <v>2.0700000000000003</v>
      </c>
      <c r="D23" s="16">
        <f>(C23*D22)/C22</f>
        <v>90.130624092888254</v>
      </c>
      <c r="E23" s="12">
        <v>4</v>
      </c>
      <c r="F23" s="16">
        <f t="shared" si="0"/>
        <v>8.6666666666666661</v>
      </c>
      <c r="G23" s="16">
        <f t="shared" si="0"/>
        <v>114.33333333333333</v>
      </c>
      <c r="H23" s="16">
        <f t="shared" si="0"/>
        <v>96.333333333333329</v>
      </c>
      <c r="I23" s="17">
        <f t="shared" si="0"/>
        <v>46.566666666666663</v>
      </c>
      <c r="J23" s="14">
        <f>(I23*C23)/100</f>
        <v>0.96392999999999995</v>
      </c>
      <c r="K23" s="16">
        <f>(J23*K22)/J22</f>
        <v>91.639360886291726</v>
      </c>
      <c r="L23" s="12">
        <v>4</v>
      </c>
      <c r="M23" s="14">
        <f>(M11+M15+M19)/3</f>
        <v>4.72</v>
      </c>
      <c r="N23" s="14">
        <f>(N11+N15+N19)/3</f>
        <v>22.546666666666667</v>
      </c>
      <c r="O23" s="12">
        <v>8</v>
      </c>
      <c r="P23" s="16">
        <f>(P11+P15+P19)/3</f>
        <v>631.66666666666663</v>
      </c>
      <c r="Q23" s="131">
        <f>E23+F23+L23+O23</f>
        <v>24.666666666666664</v>
      </c>
    </row>
    <row r="24" spans="1:17" s="4" customFormat="1" ht="12.75" x14ac:dyDescent="0.2">
      <c r="A24" s="7"/>
      <c r="B24" s="8"/>
      <c r="C24" s="10"/>
      <c r="D24" s="9"/>
      <c r="E24" s="7"/>
      <c r="F24" s="7"/>
      <c r="G24" s="7"/>
      <c r="H24" s="7"/>
      <c r="I24" s="7"/>
      <c r="J24" s="10"/>
      <c r="K24" s="9"/>
      <c r="L24" s="7"/>
      <c r="M24" s="7"/>
      <c r="N24" s="8"/>
      <c r="O24" s="8"/>
      <c r="P24" s="7"/>
      <c r="Q24" s="76"/>
    </row>
    <row r="25" spans="1:17" s="4" customFormat="1" ht="12.75" x14ac:dyDescent="0.2">
      <c r="A25" s="162" t="s">
        <v>71</v>
      </c>
      <c r="B25" s="162"/>
      <c r="Q25" s="76"/>
    </row>
    <row r="26" spans="1:17" s="4" customFormat="1" ht="12.75" x14ac:dyDescent="0.2">
      <c r="A26" s="5" t="s">
        <v>234</v>
      </c>
      <c r="Q26" s="76"/>
    </row>
    <row r="27" spans="1:17" s="4" customFormat="1" ht="12.75" x14ac:dyDescent="0.2">
      <c r="A27" s="12">
        <v>1</v>
      </c>
      <c r="B27" s="11" t="s">
        <v>246</v>
      </c>
      <c r="C27" s="12">
        <v>2.81</v>
      </c>
      <c r="D27" s="12">
        <v>100</v>
      </c>
      <c r="E27" s="12">
        <v>5</v>
      </c>
      <c r="F27" s="12">
        <v>9</v>
      </c>
      <c r="G27" s="12">
        <v>113</v>
      </c>
      <c r="H27" s="12">
        <v>101</v>
      </c>
      <c r="I27" s="12">
        <v>45.4</v>
      </c>
      <c r="J27" s="14">
        <f t="shared" ref="J27:J40" si="1">(I27*C27)/100</f>
        <v>1.2757399999999999</v>
      </c>
      <c r="K27" s="12">
        <v>100</v>
      </c>
      <c r="L27" s="12">
        <v>5</v>
      </c>
      <c r="M27" s="14">
        <v>4.9000000000000004</v>
      </c>
      <c r="N27" s="12">
        <v>20.89</v>
      </c>
      <c r="O27" s="12">
        <v>6</v>
      </c>
      <c r="P27" s="16">
        <v>666</v>
      </c>
      <c r="Q27" s="147">
        <f>E27+F27+L27+O27</f>
        <v>25</v>
      </c>
    </row>
    <row r="28" spans="1:17" s="4" customFormat="1" ht="12.75" x14ac:dyDescent="0.2">
      <c r="A28" s="12">
        <v>2</v>
      </c>
      <c r="B28" s="11" t="s">
        <v>50</v>
      </c>
      <c r="C28" s="12">
        <v>3.62</v>
      </c>
      <c r="D28" s="16">
        <f>(C28*100)/C27</f>
        <v>128.8256227758007</v>
      </c>
      <c r="E28" s="12">
        <v>8</v>
      </c>
      <c r="F28" s="12">
        <v>9</v>
      </c>
      <c r="G28" s="12">
        <v>113</v>
      </c>
      <c r="H28" s="12">
        <v>98</v>
      </c>
      <c r="I28" s="17">
        <v>46.2</v>
      </c>
      <c r="J28" s="14">
        <f t="shared" si="1"/>
        <v>1.6724400000000004</v>
      </c>
      <c r="K28" s="16">
        <f>(J28*100)/J27</f>
        <v>131.09567780268711</v>
      </c>
      <c r="L28" s="12">
        <v>8</v>
      </c>
      <c r="M28" s="12">
        <v>4.43</v>
      </c>
      <c r="N28" s="12">
        <v>21.28</v>
      </c>
      <c r="O28" s="12">
        <v>6</v>
      </c>
      <c r="P28" s="12">
        <v>694</v>
      </c>
      <c r="Q28" s="147">
        <f t="shared" ref="Q28:Q40" si="2">E28+F28+L28+O28</f>
        <v>31</v>
      </c>
    </row>
    <row r="29" spans="1:17" s="4" customFormat="1" ht="12.75" x14ac:dyDescent="0.2">
      <c r="A29" s="12">
        <v>3</v>
      </c>
      <c r="B29" s="11" t="s">
        <v>51</v>
      </c>
      <c r="C29" s="12">
        <v>3.39</v>
      </c>
      <c r="D29" s="16">
        <f>(C29*100)/C27</f>
        <v>120.64056939501779</v>
      </c>
      <c r="E29" s="12">
        <v>7</v>
      </c>
      <c r="F29" s="12">
        <v>9</v>
      </c>
      <c r="G29" s="12">
        <v>123</v>
      </c>
      <c r="H29" s="12">
        <v>99</v>
      </c>
      <c r="I29" s="12">
        <v>46.7</v>
      </c>
      <c r="J29" s="14">
        <f t="shared" si="1"/>
        <v>1.5831300000000001</v>
      </c>
      <c r="K29" s="16">
        <f>(J29*100)/J27</f>
        <v>124.0950350384875</v>
      </c>
      <c r="L29" s="12">
        <v>7</v>
      </c>
      <c r="M29" s="14">
        <v>4.0999999999999996</v>
      </c>
      <c r="N29" s="12">
        <v>22.08</v>
      </c>
      <c r="O29" s="12">
        <v>8</v>
      </c>
      <c r="P29" s="12">
        <v>684</v>
      </c>
      <c r="Q29" s="147">
        <f t="shared" si="2"/>
        <v>31</v>
      </c>
    </row>
    <row r="30" spans="1:17" s="4" customFormat="1" ht="13.5" customHeight="1" x14ac:dyDescent="0.2">
      <c r="A30" s="12">
        <v>4</v>
      </c>
      <c r="B30" s="11" t="s">
        <v>124</v>
      </c>
      <c r="C30" s="12">
        <v>2.85</v>
      </c>
      <c r="D30" s="16">
        <f>(C30*100)/C27</f>
        <v>101.42348754448399</v>
      </c>
      <c r="E30" s="12">
        <v>5</v>
      </c>
      <c r="F30" s="12">
        <v>9</v>
      </c>
      <c r="G30" s="12">
        <v>116</v>
      </c>
      <c r="H30" s="12">
        <v>100</v>
      </c>
      <c r="I30" s="12">
        <v>44.6</v>
      </c>
      <c r="J30" s="14">
        <f t="shared" si="1"/>
        <v>1.2711000000000001</v>
      </c>
      <c r="K30" s="16">
        <f>(J30*100)/J27</f>
        <v>99.636289526078997</v>
      </c>
      <c r="L30" s="12">
        <v>5</v>
      </c>
      <c r="M30" s="12">
        <v>4.38</v>
      </c>
      <c r="N30" s="12">
        <v>26.09</v>
      </c>
      <c r="O30" s="12">
        <v>9</v>
      </c>
      <c r="P30" s="12">
        <v>695</v>
      </c>
      <c r="Q30" s="147">
        <f t="shared" si="2"/>
        <v>28</v>
      </c>
    </row>
    <row r="31" spans="1:17" s="4" customFormat="1" ht="24.75" customHeight="1" x14ac:dyDescent="0.2">
      <c r="A31" s="12">
        <v>5</v>
      </c>
      <c r="B31" s="11" t="s">
        <v>125</v>
      </c>
      <c r="C31" s="12">
        <v>3.14</v>
      </c>
      <c r="D31" s="16">
        <f>(C31*100)/C27</f>
        <v>111.74377224199289</v>
      </c>
      <c r="E31" s="12">
        <v>6</v>
      </c>
      <c r="F31" s="12">
        <v>9</v>
      </c>
      <c r="G31" s="12">
        <v>106</v>
      </c>
      <c r="H31" s="12">
        <v>99</v>
      </c>
      <c r="I31" s="17">
        <v>46</v>
      </c>
      <c r="J31" s="14">
        <f t="shared" si="1"/>
        <v>1.4443999999999999</v>
      </c>
      <c r="K31" s="16">
        <f>(J31*100)/J27</f>
        <v>113.22056218351703</v>
      </c>
      <c r="L31" s="12">
        <v>6</v>
      </c>
      <c r="M31" s="12">
        <v>4.33</v>
      </c>
      <c r="N31" s="12">
        <v>23.69</v>
      </c>
      <c r="O31" s="12">
        <v>9</v>
      </c>
      <c r="P31" s="12">
        <v>688</v>
      </c>
      <c r="Q31" s="147">
        <f t="shared" si="2"/>
        <v>30</v>
      </c>
    </row>
    <row r="32" spans="1:17" s="4" customFormat="1" ht="12.75" x14ac:dyDescent="0.2">
      <c r="A32" s="12">
        <v>6</v>
      </c>
      <c r="B32" s="11" t="s">
        <v>126</v>
      </c>
      <c r="C32" s="12">
        <v>3.64</v>
      </c>
      <c r="D32" s="16">
        <f>(C32*100)/C27</f>
        <v>129.53736654804271</v>
      </c>
      <c r="E32" s="12">
        <v>8</v>
      </c>
      <c r="F32" s="12">
        <v>9</v>
      </c>
      <c r="G32" s="12">
        <v>114</v>
      </c>
      <c r="H32" s="12">
        <v>97</v>
      </c>
      <c r="I32" s="12">
        <v>46.1</v>
      </c>
      <c r="J32" s="14">
        <f t="shared" si="1"/>
        <v>1.67804</v>
      </c>
      <c r="K32" s="16">
        <f>(J32*100)/J27</f>
        <v>131.5346387194883</v>
      </c>
      <c r="L32" s="12">
        <v>8</v>
      </c>
      <c r="M32" s="12">
        <v>4.16</v>
      </c>
      <c r="N32" s="12">
        <v>22.75</v>
      </c>
      <c r="O32" s="12">
        <v>8</v>
      </c>
      <c r="P32" s="12">
        <v>692</v>
      </c>
      <c r="Q32" s="147">
        <f t="shared" si="2"/>
        <v>33</v>
      </c>
    </row>
    <row r="33" spans="1:17" s="4" customFormat="1" ht="12.75" x14ac:dyDescent="0.2">
      <c r="A33" s="12">
        <v>7</v>
      </c>
      <c r="B33" s="11" t="s">
        <v>127</v>
      </c>
      <c r="C33" s="12">
        <v>2.76</v>
      </c>
      <c r="D33" s="16">
        <f>(C33*100)/C27</f>
        <v>98.220640569395016</v>
      </c>
      <c r="E33" s="12">
        <v>5</v>
      </c>
      <c r="F33" s="12">
        <v>9</v>
      </c>
      <c r="G33" s="12">
        <v>120</v>
      </c>
      <c r="H33" s="12">
        <v>100</v>
      </c>
      <c r="I33" s="12">
        <v>47.5</v>
      </c>
      <c r="J33" s="14">
        <f t="shared" si="1"/>
        <v>1.3109999999999999</v>
      </c>
      <c r="K33" s="16">
        <f>(J33*100)/J27</f>
        <v>102.76388605828774</v>
      </c>
      <c r="L33" s="12">
        <v>5</v>
      </c>
      <c r="M33" s="12">
        <v>4.7699999999999996</v>
      </c>
      <c r="N33" s="12">
        <v>25.56</v>
      </c>
      <c r="O33" s="12">
        <v>9</v>
      </c>
      <c r="P33" s="12">
        <v>686</v>
      </c>
      <c r="Q33" s="147">
        <f t="shared" si="2"/>
        <v>28</v>
      </c>
    </row>
    <row r="34" spans="1:17" s="4" customFormat="1" ht="12.75" x14ac:dyDescent="0.2">
      <c r="A34" s="12">
        <v>8</v>
      </c>
      <c r="B34" s="11" t="s">
        <v>128</v>
      </c>
      <c r="C34" s="14">
        <v>2.5</v>
      </c>
      <c r="D34" s="16">
        <f>(C34*100)/C27</f>
        <v>88.967971530249102</v>
      </c>
      <c r="E34" s="12">
        <v>4</v>
      </c>
      <c r="F34" s="12">
        <v>8</v>
      </c>
      <c r="G34" s="12">
        <v>111</v>
      </c>
      <c r="H34" s="12">
        <v>98</v>
      </c>
      <c r="I34" s="12">
        <v>44.7</v>
      </c>
      <c r="J34" s="14">
        <f t="shared" si="1"/>
        <v>1.1174999999999999</v>
      </c>
      <c r="K34" s="16">
        <f>(J34*100)/J27</f>
        <v>87.596218665245274</v>
      </c>
      <c r="L34" s="12">
        <v>4</v>
      </c>
      <c r="M34" s="12">
        <v>4.17</v>
      </c>
      <c r="N34" s="12">
        <v>26.54</v>
      </c>
      <c r="O34" s="12">
        <v>9</v>
      </c>
      <c r="P34" s="12">
        <v>678</v>
      </c>
      <c r="Q34" s="147">
        <f t="shared" si="2"/>
        <v>25</v>
      </c>
    </row>
    <row r="35" spans="1:17" s="4" customFormat="1" ht="12.75" x14ac:dyDescent="0.2">
      <c r="A35" s="12">
        <v>9</v>
      </c>
      <c r="B35" s="11" t="s">
        <v>129</v>
      </c>
      <c r="C35" s="12">
        <v>2.67</v>
      </c>
      <c r="D35" s="16">
        <f>(C35*100)/C27</f>
        <v>95.017793594306042</v>
      </c>
      <c r="E35" s="12">
        <v>4</v>
      </c>
      <c r="F35" s="12">
        <v>8</v>
      </c>
      <c r="G35" s="12">
        <v>113</v>
      </c>
      <c r="H35" s="12">
        <v>98</v>
      </c>
      <c r="I35" s="17">
        <v>45</v>
      </c>
      <c r="J35" s="14">
        <f t="shared" si="1"/>
        <v>1.2015</v>
      </c>
      <c r="K35" s="16">
        <f>(J35*100)/J27</f>
        <v>94.180632417263723</v>
      </c>
      <c r="L35" s="12">
        <v>4</v>
      </c>
      <c r="M35" s="12">
        <v>3.47</v>
      </c>
      <c r="N35" s="12">
        <v>25.48</v>
      </c>
      <c r="O35" s="12">
        <v>9</v>
      </c>
      <c r="P35" s="12">
        <v>659</v>
      </c>
      <c r="Q35" s="147">
        <f t="shared" si="2"/>
        <v>25</v>
      </c>
    </row>
    <row r="36" spans="1:17" s="4" customFormat="1" ht="12.75" x14ac:dyDescent="0.2">
      <c r="A36" s="12">
        <v>10</v>
      </c>
      <c r="B36" s="11" t="s">
        <v>130</v>
      </c>
      <c r="C36" s="14">
        <v>2.2999999999999998</v>
      </c>
      <c r="D36" s="16">
        <f>(C36*100)/C27</f>
        <v>81.850533807829166</v>
      </c>
      <c r="E36" s="12">
        <v>3</v>
      </c>
      <c r="F36" s="12">
        <v>9</v>
      </c>
      <c r="G36" s="12">
        <v>109</v>
      </c>
      <c r="H36" s="12">
        <v>98</v>
      </c>
      <c r="I36" s="12">
        <v>47.1</v>
      </c>
      <c r="J36" s="14">
        <f t="shared" si="1"/>
        <v>1.0832999999999999</v>
      </c>
      <c r="K36" s="16">
        <f>(J36*100)/J27</f>
        <v>84.915421637637763</v>
      </c>
      <c r="L36" s="12">
        <v>3</v>
      </c>
      <c r="M36" s="14">
        <v>4.7</v>
      </c>
      <c r="N36" s="12">
        <v>25.18</v>
      </c>
      <c r="O36" s="12">
        <v>9</v>
      </c>
      <c r="P36" s="12">
        <v>677</v>
      </c>
      <c r="Q36" s="147">
        <f t="shared" si="2"/>
        <v>24</v>
      </c>
    </row>
    <row r="37" spans="1:17" s="4" customFormat="1" ht="12.75" x14ac:dyDescent="0.2">
      <c r="A37" s="12">
        <v>11</v>
      </c>
      <c r="B37" s="11" t="s">
        <v>131</v>
      </c>
      <c r="C37" s="14">
        <v>1.82</v>
      </c>
      <c r="D37" s="16">
        <f>(C37*100)/C27</f>
        <v>64.768683274021356</v>
      </c>
      <c r="E37" s="12">
        <v>1</v>
      </c>
      <c r="F37" s="12">
        <v>9</v>
      </c>
      <c r="G37" s="12">
        <v>105</v>
      </c>
      <c r="H37" s="12">
        <v>103</v>
      </c>
      <c r="I37" s="12">
        <v>43.6</v>
      </c>
      <c r="J37" s="14">
        <f t="shared" si="1"/>
        <v>0.79352</v>
      </c>
      <c r="K37" s="16">
        <f>(J37*100)/J27</f>
        <v>62.200761910734172</v>
      </c>
      <c r="L37" s="12">
        <v>1</v>
      </c>
      <c r="M37" s="12">
        <v>5.88</v>
      </c>
      <c r="N37" s="12">
        <v>30.08</v>
      </c>
      <c r="O37" s="12">
        <v>9</v>
      </c>
      <c r="P37" s="12">
        <v>662</v>
      </c>
      <c r="Q37" s="147">
        <f t="shared" si="2"/>
        <v>20</v>
      </c>
    </row>
    <row r="38" spans="1:17" s="4" customFormat="1" ht="12.75" x14ac:dyDescent="0.2">
      <c r="A38" s="12">
        <v>12</v>
      </c>
      <c r="B38" s="11" t="s">
        <v>132</v>
      </c>
      <c r="C38" s="12">
        <v>2.72</v>
      </c>
      <c r="D38" s="16">
        <f>(C38*100)/C27</f>
        <v>96.797153024911026</v>
      </c>
      <c r="E38" s="12">
        <v>5</v>
      </c>
      <c r="F38" s="12">
        <v>9</v>
      </c>
      <c r="G38" s="12">
        <v>106</v>
      </c>
      <c r="H38" s="12">
        <v>102</v>
      </c>
      <c r="I38" s="12">
        <v>44.1</v>
      </c>
      <c r="J38" s="14">
        <f t="shared" si="1"/>
        <v>1.1995200000000001</v>
      </c>
      <c r="K38" s="16">
        <f>(J38*100)/J27</f>
        <v>94.025428378823293</v>
      </c>
      <c r="L38" s="12">
        <v>4</v>
      </c>
      <c r="M38" s="12">
        <v>5.27</v>
      </c>
      <c r="N38" s="12">
        <v>27.39</v>
      </c>
      <c r="O38" s="12">
        <v>9</v>
      </c>
      <c r="P38" s="16">
        <v>647</v>
      </c>
      <c r="Q38" s="147">
        <f t="shared" si="2"/>
        <v>27</v>
      </c>
    </row>
    <row r="39" spans="1:17" s="4" customFormat="1" ht="12.75" x14ac:dyDescent="0.2">
      <c r="A39" s="12">
        <v>13</v>
      </c>
      <c r="B39" s="11" t="s">
        <v>133</v>
      </c>
      <c r="C39" s="14">
        <v>2.73</v>
      </c>
      <c r="D39" s="16">
        <f>(C39*100)/C27</f>
        <v>97.15302491103202</v>
      </c>
      <c r="E39" s="12">
        <v>5</v>
      </c>
      <c r="F39" s="12">
        <v>9</v>
      </c>
      <c r="G39" s="12">
        <v>110</v>
      </c>
      <c r="H39" s="12">
        <v>103</v>
      </c>
      <c r="I39" s="17">
        <v>44</v>
      </c>
      <c r="J39" s="14">
        <f t="shared" si="1"/>
        <v>1.2012</v>
      </c>
      <c r="K39" s="16">
        <f>(J39*100)/J27</f>
        <v>94.157116653863653</v>
      </c>
      <c r="L39" s="12">
        <v>4</v>
      </c>
      <c r="M39" s="14">
        <v>5.21</v>
      </c>
      <c r="N39" s="12">
        <v>28.05</v>
      </c>
      <c r="O39" s="12">
        <v>9</v>
      </c>
      <c r="P39" s="12">
        <v>642</v>
      </c>
      <c r="Q39" s="147">
        <f t="shared" si="2"/>
        <v>27</v>
      </c>
    </row>
    <row r="40" spans="1:17" s="4" customFormat="1" ht="12.75" x14ac:dyDescent="0.2">
      <c r="A40" s="12">
        <v>14</v>
      </c>
      <c r="B40" s="11" t="s">
        <v>134</v>
      </c>
      <c r="C40" s="12">
        <v>2.79</v>
      </c>
      <c r="D40" s="16">
        <f>(C40*100)/C27</f>
        <v>99.288256227758012</v>
      </c>
      <c r="E40" s="12">
        <v>5</v>
      </c>
      <c r="F40" s="12">
        <v>9</v>
      </c>
      <c r="G40" s="12">
        <v>114</v>
      </c>
      <c r="H40" s="12">
        <v>100</v>
      </c>
      <c r="I40" s="12">
        <v>44.3</v>
      </c>
      <c r="J40" s="14">
        <f t="shared" si="1"/>
        <v>1.23597</v>
      </c>
      <c r="K40" s="16">
        <f>(J40*100)/J27</f>
        <v>96.882593631931286</v>
      </c>
      <c r="L40" s="12">
        <v>5</v>
      </c>
      <c r="M40" s="12">
        <v>5.25</v>
      </c>
      <c r="N40" s="12">
        <v>26.64</v>
      </c>
      <c r="O40" s="12">
        <v>9</v>
      </c>
      <c r="P40" s="12">
        <v>654</v>
      </c>
      <c r="Q40" s="147">
        <f t="shared" si="2"/>
        <v>28</v>
      </c>
    </row>
    <row r="41" spans="1:17" s="4" customFormat="1" ht="12.75" x14ac:dyDescent="0.2">
      <c r="A41" s="7"/>
      <c r="B41" s="8"/>
      <c r="C41" s="7"/>
      <c r="D41" s="9"/>
      <c r="E41" s="7"/>
      <c r="F41" s="7"/>
      <c r="G41" s="7"/>
      <c r="H41" s="7"/>
      <c r="I41" s="7"/>
      <c r="J41" s="10"/>
      <c r="K41" s="9"/>
      <c r="L41" s="7"/>
      <c r="M41" s="7"/>
      <c r="N41" s="7"/>
      <c r="O41" s="7"/>
      <c r="P41" s="7"/>
      <c r="Q41" s="76"/>
    </row>
    <row r="42" spans="1:17" s="4" customFormat="1" ht="12.75" x14ac:dyDescent="0.2">
      <c r="A42" s="5" t="s">
        <v>216</v>
      </c>
      <c r="Q42" s="76"/>
    </row>
    <row r="43" spans="1:17" s="4" customFormat="1" ht="12.75" x14ac:dyDescent="0.2">
      <c r="A43" s="12">
        <v>1</v>
      </c>
      <c r="B43" s="11" t="s">
        <v>246</v>
      </c>
      <c r="C43" s="14">
        <v>3.39</v>
      </c>
      <c r="D43" s="12">
        <v>100</v>
      </c>
      <c r="E43" s="12">
        <v>5</v>
      </c>
      <c r="F43" s="12">
        <v>9</v>
      </c>
      <c r="G43" s="12">
        <v>130</v>
      </c>
      <c r="H43" s="12">
        <v>104</v>
      </c>
      <c r="I43" s="17">
        <v>46.5</v>
      </c>
      <c r="J43" s="14">
        <f t="shared" ref="J43:J56" si="3">(I43*C43)/100</f>
        <v>1.5763500000000001</v>
      </c>
      <c r="K43" s="12">
        <v>100</v>
      </c>
      <c r="L43" s="12">
        <v>5</v>
      </c>
      <c r="M43" s="14">
        <v>5.09</v>
      </c>
      <c r="N43" s="14">
        <v>25.4</v>
      </c>
      <c r="O43" s="12">
        <v>9</v>
      </c>
      <c r="P43" s="16">
        <v>647</v>
      </c>
      <c r="Q43" s="147">
        <f>E43+F43+L43+O43</f>
        <v>28</v>
      </c>
    </row>
    <row r="44" spans="1:17" s="4" customFormat="1" ht="12.75" x14ac:dyDescent="0.2">
      <c r="A44" s="12">
        <v>2</v>
      </c>
      <c r="B44" s="11" t="s">
        <v>50</v>
      </c>
      <c r="C44" s="12">
        <v>3.57</v>
      </c>
      <c r="D44" s="16">
        <f>(C44*100)/C43</f>
        <v>105.30973451327434</v>
      </c>
      <c r="E44" s="12">
        <v>5</v>
      </c>
      <c r="F44" s="12">
        <v>9</v>
      </c>
      <c r="G44" s="12">
        <v>133</v>
      </c>
      <c r="H44" s="12">
        <v>101</v>
      </c>
      <c r="I44" s="17">
        <v>47</v>
      </c>
      <c r="J44" s="14">
        <f t="shared" si="3"/>
        <v>1.6778999999999999</v>
      </c>
      <c r="K44" s="16">
        <f>(J44*100)/J43</f>
        <v>106.4420972499762</v>
      </c>
      <c r="L44" s="12">
        <v>6</v>
      </c>
      <c r="M44" s="12">
        <v>4.84</v>
      </c>
      <c r="N44" s="14">
        <v>24.68</v>
      </c>
      <c r="O44" s="12">
        <v>9</v>
      </c>
      <c r="P44" s="12">
        <v>685</v>
      </c>
      <c r="Q44" s="147">
        <f t="shared" ref="Q44:Q56" si="4">E44+F44+L44+O44</f>
        <v>29</v>
      </c>
    </row>
    <row r="45" spans="1:17" s="4" customFormat="1" ht="12.75" x14ac:dyDescent="0.2">
      <c r="A45" s="12">
        <v>3</v>
      </c>
      <c r="B45" s="11" t="s">
        <v>51</v>
      </c>
      <c r="C45" s="12">
        <v>3.87</v>
      </c>
      <c r="D45" s="16">
        <f>(C45*100)/C43</f>
        <v>114.15929203539822</v>
      </c>
      <c r="E45" s="12">
        <v>6</v>
      </c>
      <c r="F45" s="12">
        <v>9</v>
      </c>
      <c r="G45" s="12">
        <v>129</v>
      </c>
      <c r="H45" s="12">
        <v>101</v>
      </c>
      <c r="I45" s="12">
        <v>48.9</v>
      </c>
      <c r="J45" s="14">
        <f t="shared" si="3"/>
        <v>1.8924300000000001</v>
      </c>
      <c r="K45" s="16">
        <f>(J45*100)/J43</f>
        <v>120.0513845275478</v>
      </c>
      <c r="L45" s="12">
        <v>7</v>
      </c>
      <c r="M45" s="12">
        <v>4.5599999999999996</v>
      </c>
      <c r="N45" s="14">
        <v>21.12</v>
      </c>
      <c r="O45" s="12">
        <v>6</v>
      </c>
      <c r="P45" s="12">
        <v>678</v>
      </c>
      <c r="Q45" s="147">
        <f t="shared" si="4"/>
        <v>28</v>
      </c>
    </row>
    <row r="46" spans="1:17" s="4" customFormat="1" ht="17.25" customHeight="1" x14ac:dyDescent="0.2">
      <c r="A46" s="12">
        <v>4</v>
      </c>
      <c r="B46" s="11" t="s">
        <v>124</v>
      </c>
      <c r="C46" s="12">
        <v>3.51</v>
      </c>
      <c r="D46" s="16">
        <f>(C46*100)/C43</f>
        <v>103.53982300884955</v>
      </c>
      <c r="E46" s="12">
        <v>5</v>
      </c>
      <c r="F46" s="12">
        <v>9</v>
      </c>
      <c r="G46" s="12">
        <v>129</v>
      </c>
      <c r="H46" s="12">
        <v>101</v>
      </c>
      <c r="I46" s="12">
        <v>47.2</v>
      </c>
      <c r="J46" s="14">
        <f t="shared" si="3"/>
        <v>1.65672</v>
      </c>
      <c r="K46" s="16">
        <f>(J46*100)/J43</f>
        <v>105.0984870111333</v>
      </c>
      <c r="L46" s="12">
        <v>5</v>
      </c>
      <c r="M46" s="12">
        <v>4.6100000000000003</v>
      </c>
      <c r="N46" s="14">
        <v>24.87</v>
      </c>
      <c r="O46" s="12">
        <v>9</v>
      </c>
      <c r="P46" s="12">
        <v>682</v>
      </c>
      <c r="Q46" s="147">
        <f t="shared" si="4"/>
        <v>28</v>
      </c>
    </row>
    <row r="47" spans="1:17" s="4" customFormat="1" ht="25.5" x14ac:dyDescent="0.2">
      <c r="A47" s="12">
        <v>5</v>
      </c>
      <c r="B47" s="11" t="s">
        <v>125</v>
      </c>
      <c r="C47" s="12">
        <v>3.58</v>
      </c>
      <c r="D47" s="16">
        <f>(C47*100)/C43</f>
        <v>105.60471976401179</v>
      </c>
      <c r="E47" s="12">
        <v>6</v>
      </c>
      <c r="F47" s="12">
        <v>9</v>
      </c>
      <c r="G47" s="12">
        <v>132</v>
      </c>
      <c r="H47" s="12">
        <v>104</v>
      </c>
      <c r="I47" s="17">
        <v>48</v>
      </c>
      <c r="J47" s="14">
        <f t="shared" si="3"/>
        <v>1.7183999999999999</v>
      </c>
      <c r="K47" s="16">
        <f>(J47*100)/J43</f>
        <v>109.01132362736701</v>
      </c>
      <c r="L47" s="12">
        <v>6</v>
      </c>
      <c r="M47" s="12">
        <v>4.72</v>
      </c>
      <c r="N47" s="14">
        <v>22.33</v>
      </c>
      <c r="O47" s="12">
        <v>7</v>
      </c>
      <c r="P47" s="16">
        <v>676</v>
      </c>
      <c r="Q47" s="147">
        <f t="shared" si="4"/>
        <v>28</v>
      </c>
    </row>
    <row r="48" spans="1:17" s="4" customFormat="1" ht="12.75" x14ac:dyDescent="0.2">
      <c r="A48" s="12">
        <v>6</v>
      </c>
      <c r="B48" s="11" t="s">
        <v>126</v>
      </c>
      <c r="C48" s="12">
        <v>3.54</v>
      </c>
      <c r="D48" s="16">
        <f>(C48*100)/C43</f>
        <v>104.42477876106194</v>
      </c>
      <c r="E48" s="12">
        <v>5</v>
      </c>
      <c r="F48" s="12">
        <v>9</v>
      </c>
      <c r="G48" s="12">
        <v>115</v>
      </c>
      <c r="H48" s="12">
        <v>101</v>
      </c>
      <c r="I48" s="12">
        <v>48.3</v>
      </c>
      <c r="J48" s="14">
        <f t="shared" si="3"/>
        <v>1.7098199999999999</v>
      </c>
      <c r="K48" s="16">
        <f>(J48*100)/J43</f>
        <v>108.46702826149014</v>
      </c>
      <c r="L48" s="12">
        <v>6</v>
      </c>
      <c r="M48" s="12">
        <v>4.68</v>
      </c>
      <c r="N48" s="14">
        <v>22.12</v>
      </c>
      <c r="O48" s="12">
        <v>7</v>
      </c>
      <c r="P48" s="12">
        <v>677</v>
      </c>
      <c r="Q48" s="147">
        <f t="shared" si="4"/>
        <v>27</v>
      </c>
    </row>
    <row r="49" spans="1:17" s="4" customFormat="1" ht="12.75" x14ac:dyDescent="0.2">
      <c r="A49" s="12">
        <v>7</v>
      </c>
      <c r="B49" s="11" t="s">
        <v>127</v>
      </c>
      <c r="C49" s="12">
        <v>3.46</v>
      </c>
      <c r="D49" s="16">
        <f>(C49*100)/C43</f>
        <v>102.06489675516224</v>
      </c>
      <c r="E49" s="12">
        <v>5</v>
      </c>
      <c r="F49" s="12">
        <v>9</v>
      </c>
      <c r="G49" s="12">
        <v>127</v>
      </c>
      <c r="H49" s="12">
        <v>104</v>
      </c>
      <c r="I49" s="17">
        <v>47.4</v>
      </c>
      <c r="J49" s="14">
        <f t="shared" si="3"/>
        <v>1.6400399999999999</v>
      </c>
      <c r="K49" s="16">
        <f>(J49*100)/J43</f>
        <v>104.04034636977828</v>
      </c>
      <c r="L49" s="12">
        <v>5</v>
      </c>
      <c r="M49" s="12">
        <v>3.85</v>
      </c>
      <c r="N49" s="14">
        <v>23.6</v>
      </c>
      <c r="O49" s="12">
        <v>9</v>
      </c>
      <c r="P49" s="12">
        <v>650</v>
      </c>
      <c r="Q49" s="147">
        <f t="shared" si="4"/>
        <v>28</v>
      </c>
    </row>
    <row r="50" spans="1:17" s="4" customFormat="1" ht="12.75" x14ac:dyDescent="0.2">
      <c r="A50" s="12">
        <v>8</v>
      </c>
      <c r="B50" s="11" t="s">
        <v>128</v>
      </c>
      <c r="C50" s="14">
        <v>3.15</v>
      </c>
      <c r="D50" s="16">
        <f>(C50*100)/C43</f>
        <v>92.920353982300881</v>
      </c>
      <c r="E50" s="12">
        <v>4</v>
      </c>
      <c r="F50" s="12">
        <v>9</v>
      </c>
      <c r="G50" s="12">
        <v>127</v>
      </c>
      <c r="H50" s="12">
        <v>104</v>
      </c>
      <c r="I50" s="12">
        <v>47.1</v>
      </c>
      <c r="J50" s="14">
        <f t="shared" si="3"/>
        <v>1.4836500000000001</v>
      </c>
      <c r="K50" s="16">
        <f>(J50*100)/J43</f>
        <v>94.119326291749928</v>
      </c>
      <c r="L50" s="12">
        <v>4</v>
      </c>
      <c r="M50" s="12">
        <v>4.93</v>
      </c>
      <c r="N50" s="14">
        <v>24.62</v>
      </c>
      <c r="O50" s="12">
        <v>9</v>
      </c>
      <c r="P50" s="16">
        <v>654</v>
      </c>
      <c r="Q50" s="147">
        <f t="shared" si="4"/>
        <v>26</v>
      </c>
    </row>
    <row r="51" spans="1:17" s="4" customFormat="1" ht="12.75" x14ac:dyDescent="0.2">
      <c r="A51" s="12">
        <v>9</v>
      </c>
      <c r="B51" s="11" t="s">
        <v>129</v>
      </c>
      <c r="C51" s="12">
        <v>2.89</v>
      </c>
      <c r="D51" s="16">
        <f>(C51*100)/C43</f>
        <v>85.250737463126839</v>
      </c>
      <c r="E51" s="12">
        <v>3</v>
      </c>
      <c r="F51" s="12">
        <v>9</v>
      </c>
      <c r="G51" s="12">
        <v>127</v>
      </c>
      <c r="H51" s="12">
        <v>104</v>
      </c>
      <c r="I51" s="12">
        <v>45.9</v>
      </c>
      <c r="J51" s="14">
        <f t="shared" si="3"/>
        <v>1.3265100000000001</v>
      </c>
      <c r="K51" s="16">
        <f>(J51*100)/J43</f>
        <v>84.150727947473598</v>
      </c>
      <c r="L51" s="12">
        <v>3</v>
      </c>
      <c r="M51" s="14">
        <v>5.0999999999999996</v>
      </c>
      <c r="N51" s="14">
        <v>25.83</v>
      </c>
      <c r="O51" s="12">
        <v>9</v>
      </c>
      <c r="P51" s="12">
        <v>651</v>
      </c>
      <c r="Q51" s="147">
        <f t="shared" si="4"/>
        <v>24</v>
      </c>
    </row>
    <row r="52" spans="1:17" s="4" customFormat="1" ht="12.75" x14ac:dyDescent="0.2">
      <c r="A52" s="12">
        <v>10</v>
      </c>
      <c r="B52" s="11" t="s">
        <v>130</v>
      </c>
      <c r="C52" s="14">
        <v>1.85</v>
      </c>
      <c r="D52" s="16">
        <f>(C52*100)/C43</f>
        <v>54.572271386430678</v>
      </c>
      <c r="E52" s="12">
        <v>2</v>
      </c>
      <c r="F52" s="12">
        <v>9</v>
      </c>
      <c r="G52" s="12">
        <v>117</v>
      </c>
      <c r="H52" s="12">
        <v>104</v>
      </c>
      <c r="I52" s="12">
        <v>48.8</v>
      </c>
      <c r="J52" s="14">
        <f t="shared" si="3"/>
        <v>0.90280000000000005</v>
      </c>
      <c r="K52" s="16">
        <f>(J52*100)/J43</f>
        <v>57.271545024899289</v>
      </c>
      <c r="L52" s="12">
        <v>1</v>
      </c>
      <c r="M52" s="12">
        <v>4.88</v>
      </c>
      <c r="N52" s="14">
        <v>22.9</v>
      </c>
      <c r="O52" s="12">
        <v>8</v>
      </c>
      <c r="P52" s="12">
        <v>655</v>
      </c>
      <c r="Q52" s="147">
        <f t="shared" si="4"/>
        <v>20</v>
      </c>
    </row>
    <row r="53" spans="1:17" s="4" customFormat="1" ht="12.75" x14ac:dyDescent="0.2">
      <c r="A53" s="12">
        <v>11</v>
      </c>
      <c r="B53" s="11" t="s">
        <v>131</v>
      </c>
      <c r="C53" s="12">
        <v>2.98</v>
      </c>
      <c r="D53" s="16">
        <f>(C53*100)/C43</f>
        <v>87.905604719764014</v>
      </c>
      <c r="E53" s="12">
        <v>4</v>
      </c>
      <c r="F53" s="12">
        <v>9</v>
      </c>
      <c r="G53" s="12">
        <v>113</v>
      </c>
      <c r="H53" s="12">
        <v>104</v>
      </c>
      <c r="I53" s="12">
        <v>46.5</v>
      </c>
      <c r="J53" s="14">
        <f t="shared" si="3"/>
        <v>1.3856999999999999</v>
      </c>
      <c r="K53" s="16">
        <f>(J53*100)/J43</f>
        <v>87.905604719764</v>
      </c>
      <c r="L53" s="12">
        <v>4</v>
      </c>
      <c r="M53" s="14">
        <v>4.87</v>
      </c>
      <c r="N53" s="14">
        <v>25.39</v>
      </c>
      <c r="O53" s="12">
        <v>9</v>
      </c>
      <c r="P53" s="12">
        <v>647</v>
      </c>
      <c r="Q53" s="147">
        <f t="shared" si="4"/>
        <v>26</v>
      </c>
    </row>
    <row r="54" spans="1:17" s="4" customFormat="1" ht="12.75" x14ac:dyDescent="0.2">
      <c r="A54" s="12">
        <v>12</v>
      </c>
      <c r="B54" s="11" t="s">
        <v>132</v>
      </c>
      <c r="C54" s="12">
        <v>3.34</v>
      </c>
      <c r="D54" s="16">
        <f>(C54*100)/C43</f>
        <v>98.525073746312685</v>
      </c>
      <c r="E54" s="12">
        <v>5</v>
      </c>
      <c r="F54" s="12">
        <v>9</v>
      </c>
      <c r="G54" s="12">
        <v>128</v>
      </c>
      <c r="H54" s="12">
        <v>104</v>
      </c>
      <c r="I54" s="17">
        <v>46</v>
      </c>
      <c r="J54" s="14">
        <f t="shared" si="3"/>
        <v>1.5363999999999998</v>
      </c>
      <c r="K54" s="16">
        <f>(J54*100)/J43</f>
        <v>97.465664351191023</v>
      </c>
      <c r="L54" s="12">
        <v>5</v>
      </c>
      <c r="M54" s="12">
        <v>5.48</v>
      </c>
      <c r="N54" s="14">
        <v>26.68</v>
      </c>
      <c r="O54" s="12">
        <v>9</v>
      </c>
      <c r="P54" s="12">
        <v>658</v>
      </c>
      <c r="Q54" s="147">
        <f t="shared" si="4"/>
        <v>28</v>
      </c>
    </row>
    <row r="55" spans="1:17" s="4" customFormat="1" ht="12.75" x14ac:dyDescent="0.2">
      <c r="A55" s="12">
        <v>13</v>
      </c>
      <c r="B55" s="11" t="s">
        <v>133</v>
      </c>
      <c r="C55" s="12">
        <v>3.28</v>
      </c>
      <c r="D55" s="16">
        <f>(C55*100)/C43</f>
        <v>96.755162241887902</v>
      </c>
      <c r="E55" s="12">
        <v>5</v>
      </c>
      <c r="F55" s="12">
        <v>9</v>
      </c>
      <c r="G55" s="12">
        <v>146</v>
      </c>
      <c r="H55" s="12">
        <v>104</v>
      </c>
      <c r="I55" s="12">
        <v>49.8</v>
      </c>
      <c r="J55" s="14">
        <f t="shared" si="3"/>
        <v>1.63344</v>
      </c>
      <c r="K55" s="16">
        <f>(J55*100)/J43</f>
        <v>103.62165762679606</v>
      </c>
      <c r="L55" s="12">
        <v>5</v>
      </c>
      <c r="M55" s="12">
        <v>4.97</v>
      </c>
      <c r="N55" s="14">
        <v>21.58</v>
      </c>
      <c r="O55" s="12">
        <v>7</v>
      </c>
      <c r="P55" s="12">
        <v>675</v>
      </c>
      <c r="Q55" s="147">
        <f t="shared" si="4"/>
        <v>26</v>
      </c>
    </row>
    <row r="56" spans="1:17" s="4" customFormat="1" ht="12.75" x14ac:dyDescent="0.2">
      <c r="A56" s="12">
        <v>14</v>
      </c>
      <c r="B56" s="11" t="s">
        <v>134</v>
      </c>
      <c r="C56" s="12">
        <v>3.27</v>
      </c>
      <c r="D56" s="16">
        <f>(C56*100)/C43</f>
        <v>96.460176991150433</v>
      </c>
      <c r="E56" s="12">
        <v>5</v>
      </c>
      <c r="F56" s="12">
        <v>9</v>
      </c>
      <c r="G56" s="12">
        <v>132</v>
      </c>
      <c r="H56" s="12">
        <v>104</v>
      </c>
      <c r="I56" s="12">
        <v>47.5</v>
      </c>
      <c r="J56" s="14">
        <f t="shared" si="3"/>
        <v>1.5532499999999998</v>
      </c>
      <c r="K56" s="16">
        <f>(J56*100)/J43</f>
        <v>98.534589399562265</v>
      </c>
      <c r="L56" s="12">
        <v>5</v>
      </c>
      <c r="M56" s="12">
        <v>5.16</v>
      </c>
      <c r="N56" s="14">
        <v>23.96</v>
      </c>
      <c r="O56" s="12">
        <v>9</v>
      </c>
      <c r="P56" s="16">
        <v>648</v>
      </c>
      <c r="Q56" s="147">
        <f t="shared" si="4"/>
        <v>28</v>
      </c>
    </row>
    <row r="57" spans="1:17" s="4" customFormat="1" ht="12.75" x14ac:dyDescent="0.2">
      <c r="A57" s="7"/>
      <c r="B57" s="8"/>
      <c r="C57" s="10"/>
      <c r="D57" s="9"/>
      <c r="E57" s="7"/>
      <c r="F57" s="7"/>
      <c r="G57" s="7"/>
      <c r="H57" s="7"/>
      <c r="I57" s="7"/>
      <c r="J57" s="10"/>
      <c r="K57" s="9"/>
      <c r="L57" s="7"/>
      <c r="M57" s="7"/>
      <c r="N57" s="7"/>
      <c r="O57" s="7"/>
      <c r="P57" s="9"/>
      <c r="Q57" s="76"/>
    </row>
    <row r="58" spans="1:17" s="4" customFormat="1" ht="12.75" x14ac:dyDescent="0.2">
      <c r="A58" s="5" t="s">
        <v>115</v>
      </c>
      <c r="Q58" s="76"/>
    </row>
    <row r="59" spans="1:17" s="4" customFormat="1" ht="12.75" x14ac:dyDescent="0.2">
      <c r="A59" s="12">
        <v>1</v>
      </c>
      <c r="B59" s="11" t="s">
        <v>246</v>
      </c>
      <c r="C59" s="14">
        <v>1.46</v>
      </c>
      <c r="D59" s="12">
        <v>100</v>
      </c>
      <c r="E59" s="12">
        <v>5</v>
      </c>
      <c r="F59" s="12">
        <v>8</v>
      </c>
      <c r="G59" s="12">
        <v>115</v>
      </c>
      <c r="H59" s="12">
        <v>99</v>
      </c>
      <c r="I59" s="17">
        <v>45.2</v>
      </c>
      <c r="J59" s="14">
        <f t="shared" ref="J59:J72" si="5">(I59*C59)/100</f>
        <v>0.65992000000000006</v>
      </c>
      <c r="K59" s="12">
        <v>100</v>
      </c>
      <c r="L59" s="12">
        <v>5</v>
      </c>
      <c r="M59" s="17">
        <v>6</v>
      </c>
      <c r="N59" s="12">
        <v>27.23</v>
      </c>
      <c r="O59" s="12">
        <v>9</v>
      </c>
      <c r="P59" s="16">
        <v>617</v>
      </c>
      <c r="Q59" s="147">
        <f>E59+F59+L59+O59</f>
        <v>27</v>
      </c>
    </row>
    <row r="60" spans="1:17" s="4" customFormat="1" ht="12.75" x14ac:dyDescent="0.2">
      <c r="A60" s="12">
        <v>2</v>
      </c>
      <c r="B60" s="11" t="s">
        <v>50</v>
      </c>
      <c r="C60" s="14">
        <v>1.93</v>
      </c>
      <c r="D60" s="16">
        <f>(C60*100)/C59</f>
        <v>132.1917808219178</v>
      </c>
      <c r="E60" s="12">
        <v>8</v>
      </c>
      <c r="F60" s="12">
        <v>9</v>
      </c>
      <c r="G60" s="12">
        <v>115</v>
      </c>
      <c r="H60" s="12">
        <v>93</v>
      </c>
      <c r="I60" s="12">
        <v>44.3</v>
      </c>
      <c r="J60" s="14">
        <f t="shared" si="5"/>
        <v>0.85498999999999992</v>
      </c>
      <c r="K60" s="16">
        <f>(J60*100)/J59</f>
        <v>129.55964359316278</v>
      </c>
      <c r="L60" s="12">
        <v>8</v>
      </c>
      <c r="M60" s="12">
        <v>5.2</v>
      </c>
      <c r="N60" s="12">
        <v>28.47</v>
      </c>
      <c r="O60" s="12">
        <v>9</v>
      </c>
      <c r="P60" s="12">
        <v>660</v>
      </c>
      <c r="Q60" s="147">
        <f t="shared" ref="Q60:Q72" si="6">E60+F60+L60+O60</f>
        <v>34</v>
      </c>
    </row>
    <row r="61" spans="1:17" s="4" customFormat="1" ht="12.75" x14ac:dyDescent="0.2">
      <c r="A61" s="12">
        <v>3</v>
      </c>
      <c r="B61" s="11" t="s">
        <v>51</v>
      </c>
      <c r="C61" s="14">
        <v>2.12</v>
      </c>
      <c r="D61" s="16">
        <f>(C61*100)/C59</f>
        <v>145.20547945205479</v>
      </c>
      <c r="E61" s="12">
        <v>9</v>
      </c>
      <c r="F61" s="12">
        <v>9</v>
      </c>
      <c r="G61" s="12">
        <v>109</v>
      </c>
      <c r="H61" s="12">
        <v>95</v>
      </c>
      <c r="I61" s="12">
        <v>45.6</v>
      </c>
      <c r="J61" s="14">
        <f t="shared" si="5"/>
        <v>0.96672000000000013</v>
      </c>
      <c r="K61" s="16">
        <f>(J61*100)/J59</f>
        <v>146.49048369499334</v>
      </c>
      <c r="L61" s="12">
        <v>9</v>
      </c>
      <c r="M61" s="12">
        <v>4.8</v>
      </c>
      <c r="N61" s="12">
        <v>26.26</v>
      </c>
      <c r="O61" s="12">
        <v>9</v>
      </c>
      <c r="P61" s="12">
        <v>665</v>
      </c>
      <c r="Q61" s="147">
        <f t="shared" si="6"/>
        <v>36</v>
      </c>
    </row>
    <row r="62" spans="1:17" s="4" customFormat="1" ht="15" customHeight="1" x14ac:dyDescent="0.2">
      <c r="A62" s="12">
        <v>4</v>
      </c>
      <c r="B62" s="11" t="s">
        <v>124</v>
      </c>
      <c r="C62" s="12">
        <v>1.98</v>
      </c>
      <c r="D62" s="16">
        <f>(C62*100)/C59</f>
        <v>135.61643835616439</v>
      </c>
      <c r="E62" s="12">
        <v>9</v>
      </c>
      <c r="F62" s="12">
        <v>8</v>
      </c>
      <c r="G62" s="12">
        <v>124</v>
      </c>
      <c r="H62" s="12">
        <v>96</v>
      </c>
      <c r="I62" s="17">
        <v>43</v>
      </c>
      <c r="J62" s="14">
        <f t="shared" si="5"/>
        <v>0.85140000000000005</v>
      </c>
      <c r="K62" s="16">
        <f>(J62*100)/J59</f>
        <v>129.01563825918291</v>
      </c>
      <c r="L62" s="12">
        <v>8</v>
      </c>
      <c r="M62" s="12">
        <v>4.5999999999999996</v>
      </c>
      <c r="N62" s="12">
        <v>28.73</v>
      </c>
      <c r="O62" s="12">
        <v>9</v>
      </c>
      <c r="P62" s="12">
        <v>652</v>
      </c>
      <c r="Q62" s="147">
        <f t="shared" si="6"/>
        <v>34</v>
      </c>
    </row>
    <row r="63" spans="1:17" s="4" customFormat="1" ht="25.5" x14ac:dyDescent="0.2">
      <c r="A63" s="12">
        <v>5</v>
      </c>
      <c r="B63" s="11" t="s">
        <v>125</v>
      </c>
      <c r="C63" s="12">
        <v>2.3199999999999998</v>
      </c>
      <c r="D63" s="16">
        <f>(C63*100)/C59</f>
        <v>158.90410958904107</v>
      </c>
      <c r="E63" s="12">
        <v>9</v>
      </c>
      <c r="F63" s="12">
        <v>8</v>
      </c>
      <c r="G63" s="12">
        <v>112</v>
      </c>
      <c r="H63" s="12">
        <v>94</v>
      </c>
      <c r="I63" s="12">
        <v>45.2</v>
      </c>
      <c r="J63" s="14">
        <f t="shared" si="5"/>
        <v>1.04864</v>
      </c>
      <c r="K63" s="16">
        <f>(J63*100)/J59</f>
        <v>158.9041095890411</v>
      </c>
      <c r="L63" s="12">
        <v>9</v>
      </c>
      <c r="M63" s="12">
        <v>4.8</v>
      </c>
      <c r="N63" s="12">
        <v>27.37</v>
      </c>
      <c r="O63" s="12">
        <v>9</v>
      </c>
      <c r="P63" s="12">
        <v>671</v>
      </c>
      <c r="Q63" s="147">
        <f t="shared" si="6"/>
        <v>35</v>
      </c>
    </row>
    <row r="64" spans="1:17" s="4" customFormat="1" ht="12.75" x14ac:dyDescent="0.2">
      <c r="A64" s="12">
        <v>6</v>
      </c>
      <c r="B64" s="11" t="s">
        <v>126</v>
      </c>
      <c r="C64" s="12">
        <v>1.96</v>
      </c>
      <c r="D64" s="16">
        <f>(C64*100)/C59</f>
        <v>134.24657534246575</v>
      </c>
      <c r="E64" s="12">
        <v>8</v>
      </c>
      <c r="F64" s="12">
        <v>9</v>
      </c>
      <c r="G64" s="12">
        <v>111</v>
      </c>
      <c r="H64" s="12">
        <v>93</v>
      </c>
      <c r="I64" s="17">
        <v>44.9</v>
      </c>
      <c r="J64" s="14">
        <f t="shared" si="5"/>
        <v>0.88003999999999993</v>
      </c>
      <c r="K64" s="16">
        <f>(J64*100)/J59</f>
        <v>133.35555824948477</v>
      </c>
      <c r="L64" s="12">
        <v>8</v>
      </c>
      <c r="M64" s="12">
        <v>4.7</v>
      </c>
      <c r="N64" s="14">
        <v>26.2</v>
      </c>
      <c r="O64" s="12">
        <v>9</v>
      </c>
      <c r="P64" s="12">
        <v>668</v>
      </c>
      <c r="Q64" s="147">
        <f t="shared" si="6"/>
        <v>34</v>
      </c>
    </row>
    <row r="65" spans="1:17" s="4" customFormat="1" ht="12.75" x14ac:dyDescent="0.2">
      <c r="A65" s="12">
        <v>7</v>
      </c>
      <c r="B65" s="11" t="s">
        <v>127</v>
      </c>
      <c r="C65" s="12">
        <v>1.1299999999999999</v>
      </c>
      <c r="D65" s="16">
        <f>(C65*100)/C59</f>
        <v>77.397260273972591</v>
      </c>
      <c r="E65" s="12">
        <v>3</v>
      </c>
      <c r="F65" s="12">
        <v>9</v>
      </c>
      <c r="G65" s="12">
        <v>110</v>
      </c>
      <c r="H65" s="12">
        <v>93</v>
      </c>
      <c r="I65" s="12">
        <v>44.1</v>
      </c>
      <c r="J65" s="14">
        <f t="shared" si="5"/>
        <v>0.49833</v>
      </c>
      <c r="K65" s="16">
        <f>(J65*100)/J59</f>
        <v>75.513698630136972</v>
      </c>
      <c r="L65" s="12">
        <v>3</v>
      </c>
      <c r="M65" s="12">
        <v>5.6</v>
      </c>
      <c r="N65" s="12">
        <v>28.69</v>
      </c>
      <c r="O65" s="12">
        <v>9</v>
      </c>
      <c r="P65" s="12">
        <v>628</v>
      </c>
      <c r="Q65" s="147">
        <f t="shared" si="6"/>
        <v>24</v>
      </c>
    </row>
    <row r="66" spans="1:17" s="4" customFormat="1" ht="12.75" x14ac:dyDescent="0.2">
      <c r="A66" s="12">
        <v>8</v>
      </c>
      <c r="B66" s="11" t="s">
        <v>128</v>
      </c>
      <c r="C66" s="12">
        <v>1.56</v>
      </c>
      <c r="D66" s="16">
        <f>(C66*100)/C59</f>
        <v>106.84931506849315</v>
      </c>
      <c r="E66" s="12">
        <v>6</v>
      </c>
      <c r="F66" s="12">
        <v>9</v>
      </c>
      <c r="G66" s="12">
        <v>105</v>
      </c>
      <c r="H66" s="12">
        <v>94</v>
      </c>
      <c r="I66" s="17">
        <v>45</v>
      </c>
      <c r="J66" s="14">
        <f t="shared" si="5"/>
        <v>0.70200000000000007</v>
      </c>
      <c r="K66" s="16">
        <f>(J66*100)/J59</f>
        <v>106.37653048854406</v>
      </c>
      <c r="L66" s="12">
        <v>6</v>
      </c>
      <c r="M66" s="12">
        <v>4.8</v>
      </c>
      <c r="N66" s="12">
        <v>26.93</v>
      </c>
      <c r="O66" s="12">
        <v>9</v>
      </c>
      <c r="P66" s="16">
        <v>635</v>
      </c>
      <c r="Q66" s="147">
        <f t="shared" si="6"/>
        <v>30</v>
      </c>
    </row>
    <row r="67" spans="1:17" s="4" customFormat="1" ht="12.75" x14ac:dyDescent="0.2">
      <c r="A67" s="12">
        <v>9</v>
      </c>
      <c r="B67" s="11" t="s">
        <v>129</v>
      </c>
      <c r="C67" s="12">
        <v>0.76</v>
      </c>
      <c r="D67" s="16">
        <f>(C67*100)/C59</f>
        <v>52.054794520547944</v>
      </c>
      <c r="E67" s="12">
        <v>1</v>
      </c>
      <c r="F67" s="12">
        <v>8</v>
      </c>
      <c r="G67" s="12">
        <v>93</v>
      </c>
      <c r="H67" s="12">
        <v>92</v>
      </c>
      <c r="I67" s="12">
        <v>43.3</v>
      </c>
      <c r="J67" s="14">
        <f t="shared" si="5"/>
        <v>0.32908000000000004</v>
      </c>
      <c r="K67" s="16">
        <f>(J67*100)/J59</f>
        <v>49.866650503091279</v>
      </c>
      <c r="L67" s="12">
        <v>1</v>
      </c>
      <c r="M67" s="17">
        <v>4</v>
      </c>
      <c r="N67" s="12">
        <v>27.81</v>
      </c>
      <c r="O67" s="12">
        <v>9</v>
      </c>
      <c r="P67" s="12">
        <v>624</v>
      </c>
      <c r="Q67" s="147">
        <f t="shared" si="6"/>
        <v>19</v>
      </c>
    </row>
    <row r="68" spans="1:17" s="4" customFormat="1" ht="12.75" x14ac:dyDescent="0.2">
      <c r="A68" s="12">
        <v>10</v>
      </c>
      <c r="B68" s="11" t="s">
        <v>130</v>
      </c>
      <c r="C68" s="12">
        <v>0.68</v>
      </c>
      <c r="D68" s="16">
        <f>(C68*100)/C59</f>
        <v>46.575342465753423</v>
      </c>
      <c r="E68" s="12">
        <v>1</v>
      </c>
      <c r="F68" s="12">
        <v>8</v>
      </c>
      <c r="G68" s="12">
        <v>105</v>
      </c>
      <c r="H68" s="12">
        <v>89</v>
      </c>
      <c r="I68" s="12">
        <v>45.9</v>
      </c>
      <c r="J68" s="14">
        <f t="shared" si="5"/>
        <v>0.31212000000000001</v>
      </c>
      <c r="K68" s="16">
        <f>(J68*100)/J59</f>
        <v>47.296642017214204</v>
      </c>
      <c r="L68" s="12">
        <v>1</v>
      </c>
      <c r="M68" s="12">
        <v>5.2</v>
      </c>
      <c r="N68" s="12">
        <v>24.81</v>
      </c>
      <c r="O68" s="12">
        <v>9</v>
      </c>
      <c r="P68" s="12">
        <v>638</v>
      </c>
      <c r="Q68" s="147">
        <f t="shared" si="6"/>
        <v>19</v>
      </c>
    </row>
    <row r="69" spans="1:17" s="4" customFormat="1" ht="12.75" x14ac:dyDescent="0.2">
      <c r="A69" s="12">
        <v>11</v>
      </c>
      <c r="B69" s="11" t="s">
        <v>131</v>
      </c>
      <c r="C69" s="12">
        <v>1.38</v>
      </c>
      <c r="D69" s="16">
        <f>(C69*100)/C59</f>
        <v>94.520547945205479</v>
      </c>
      <c r="E69" s="12">
        <v>4</v>
      </c>
      <c r="F69" s="12">
        <v>8</v>
      </c>
      <c r="G69" s="12">
        <v>113</v>
      </c>
      <c r="H69" s="12">
        <v>101</v>
      </c>
      <c r="I69" s="17">
        <v>44.4</v>
      </c>
      <c r="J69" s="14">
        <f t="shared" si="5"/>
        <v>0.61271999999999993</v>
      </c>
      <c r="K69" s="16">
        <f>(J69*100)/J59</f>
        <v>92.847617893077924</v>
      </c>
      <c r="L69" s="12">
        <v>4</v>
      </c>
      <c r="M69" s="17">
        <v>5.8</v>
      </c>
      <c r="N69" s="12">
        <v>28.39</v>
      </c>
      <c r="O69" s="12">
        <v>9</v>
      </c>
      <c r="P69" s="12">
        <v>626</v>
      </c>
      <c r="Q69" s="147">
        <f t="shared" si="6"/>
        <v>25</v>
      </c>
    </row>
    <row r="70" spans="1:17" s="4" customFormat="1" ht="12.75" x14ac:dyDescent="0.2">
      <c r="A70" s="12">
        <v>12</v>
      </c>
      <c r="B70" s="11" t="s">
        <v>132</v>
      </c>
      <c r="C70" s="12">
        <v>1.28</v>
      </c>
      <c r="D70" s="16">
        <f>(C70*100)/C59</f>
        <v>87.671232876712324</v>
      </c>
      <c r="E70" s="12">
        <v>4</v>
      </c>
      <c r="F70" s="12">
        <v>8</v>
      </c>
      <c r="G70" s="12">
        <v>104</v>
      </c>
      <c r="H70" s="12">
        <v>102</v>
      </c>
      <c r="I70" s="12">
        <v>44.1</v>
      </c>
      <c r="J70" s="14">
        <f t="shared" si="5"/>
        <v>0.56447999999999998</v>
      </c>
      <c r="K70" s="16">
        <f>(J70*100)/J59</f>
        <v>85.537640926172855</v>
      </c>
      <c r="L70" s="12">
        <v>4</v>
      </c>
      <c r="M70" s="12">
        <v>5.5</v>
      </c>
      <c r="N70" s="12">
        <v>27.52</v>
      </c>
      <c r="O70" s="12">
        <v>9</v>
      </c>
      <c r="P70" s="12">
        <v>614</v>
      </c>
      <c r="Q70" s="147">
        <f t="shared" si="6"/>
        <v>25</v>
      </c>
    </row>
    <row r="71" spans="1:17" s="4" customFormat="1" ht="12.75" x14ac:dyDescent="0.2">
      <c r="A71" s="12">
        <v>13</v>
      </c>
      <c r="B71" s="11" t="s">
        <v>133</v>
      </c>
      <c r="C71" s="12">
        <v>1.58</v>
      </c>
      <c r="D71" s="16">
        <f>(C71*100)/C59</f>
        <v>108.21917808219179</v>
      </c>
      <c r="E71" s="12">
        <v>6</v>
      </c>
      <c r="F71" s="12">
        <v>9</v>
      </c>
      <c r="G71" s="12">
        <v>113</v>
      </c>
      <c r="H71" s="12">
        <v>102</v>
      </c>
      <c r="I71" s="12">
        <v>44.5</v>
      </c>
      <c r="J71" s="14">
        <f t="shared" si="5"/>
        <v>0.70310000000000006</v>
      </c>
      <c r="K71" s="16">
        <f>(J71*100)/J59</f>
        <v>106.54321735967996</v>
      </c>
      <c r="L71" s="12">
        <v>6</v>
      </c>
      <c r="M71" s="12">
        <v>5.8</v>
      </c>
      <c r="N71" s="12">
        <v>27.87</v>
      </c>
      <c r="O71" s="12">
        <v>9</v>
      </c>
      <c r="P71" s="12">
        <v>602</v>
      </c>
      <c r="Q71" s="147">
        <f t="shared" si="6"/>
        <v>30</v>
      </c>
    </row>
    <row r="72" spans="1:17" s="4" customFormat="1" ht="12.75" x14ac:dyDescent="0.2">
      <c r="A72" s="12">
        <v>14</v>
      </c>
      <c r="B72" s="11" t="s">
        <v>134</v>
      </c>
      <c r="C72" s="12">
        <v>1.74</v>
      </c>
      <c r="D72" s="16">
        <f>(C72*100)/C59</f>
        <v>119.17808219178083</v>
      </c>
      <c r="E72" s="12">
        <v>7</v>
      </c>
      <c r="F72" s="12">
        <v>9</v>
      </c>
      <c r="G72" s="12">
        <v>118</v>
      </c>
      <c r="H72" s="12">
        <v>94</v>
      </c>
      <c r="I72" s="12">
        <v>43.4</v>
      </c>
      <c r="J72" s="14">
        <f t="shared" si="5"/>
        <v>0.75515999999999994</v>
      </c>
      <c r="K72" s="16">
        <f>(J72*100)/J59</f>
        <v>114.43205236998422</v>
      </c>
      <c r="L72" s="12">
        <v>6</v>
      </c>
      <c r="M72" s="12">
        <v>5.6</v>
      </c>
      <c r="N72" s="12">
        <v>28.48</v>
      </c>
      <c r="O72" s="12">
        <v>9</v>
      </c>
      <c r="P72" s="12">
        <v>625</v>
      </c>
      <c r="Q72" s="147">
        <f t="shared" si="6"/>
        <v>31</v>
      </c>
    </row>
    <row r="73" spans="1:17" x14ac:dyDescent="0.2">
      <c r="Q73" s="126"/>
    </row>
    <row r="74" spans="1:17" s="4" customFormat="1" ht="12.75" x14ac:dyDescent="0.2">
      <c r="A74" s="5" t="s">
        <v>29</v>
      </c>
      <c r="Q74" s="76"/>
    </row>
    <row r="75" spans="1:17" s="4" customFormat="1" ht="12.75" x14ac:dyDescent="0.2">
      <c r="A75" s="12">
        <v>1</v>
      </c>
      <c r="B75" s="11" t="s">
        <v>246</v>
      </c>
      <c r="C75" s="14">
        <f>(C27+C43+C59)/3</f>
        <v>2.5533333333333332</v>
      </c>
      <c r="D75" s="12">
        <v>100</v>
      </c>
      <c r="E75" s="12">
        <v>5</v>
      </c>
      <c r="F75" s="16">
        <f>(F27+F43+F59)/3</f>
        <v>8.6666666666666661</v>
      </c>
      <c r="G75" s="17">
        <f>(G27+G43+G59)/3</f>
        <v>119.33333333333333</v>
      </c>
      <c r="H75" s="16">
        <f>(H27+H43+H59)/3</f>
        <v>101.33333333333333</v>
      </c>
      <c r="I75" s="17">
        <f>(I27+I43+I59)/3</f>
        <v>45.70000000000001</v>
      </c>
      <c r="J75" s="14">
        <f t="shared" ref="J75:J88" si="7">(I75*C75)/100</f>
        <v>1.1668733333333337</v>
      </c>
      <c r="K75" s="12">
        <v>100</v>
      </c>
      <c r="L75" s="12">
        <v>5</v>
      </c>
      <c r="M75" s="17">
        <f>(M27+M43+M59)/3</f>
        <v>5.33</v>
      </c>
      <c r="N75" s="14">
        <f>(N27+N43+N59)/3</f>
        <v>24.506666666666664</v>
      </c>
      <c r="O75" s="12">
        <v>9</v>
      </c>
      <c r="P75" s="16">
        <f>(P27+P43+P59)/3</f>
        <v>643.33333333333337</v>
      </c>
      <c r="Q75" s="131">
        <f>E75+F75+L75+O75</f>
        <v>27.666666666666664</v>
      </c>
    </row>
    <row r="76" spans="1:17" s="4" customFormat="1" ht="12.75" x14ac:dyDescent="0.2">
      <c r="A76" s="12">
        <v>2</v>
      </c>
      <c r="B76" s="11" t="s">
        <v>50</v>
      </c>
      <c r="C76" s="14">
        <f t="shared" ref="C76:C88" si="8">(C28+C44+C60)/3</f>
        <v>3.0399999999999996</v>
      </c>
      <c r="D76" s="16">
        <f>(C76*100)/C75</f>
        <v>119.06005221932114</v>
      </c>
      <c r="E76" s="12">
        <v>7</v>
      </c>
      <c r="F76" s="16">
        <f t="shared" ref="F76:I88" si="9">(F28+F44+F60)/3</f>
        <v>9</v>
      </c>
      <c r="G76" s="17">
        <f t="shared" si="9"/>
        <v>120.33333333333333</v>
      </c>
      <c r="H76" s="16">
        <f t="shared" si="9"/>
        <v>97.333333333333329</v>
      </c>
      <c r="I76" s="17">
        <f t="shared" si="9"/>
        <v>45.833333333333336</v>
      </c>
      <c r="J76" s="14">
        <f t="shared" si="7"/>
        <v>1.3933333333333331</v>
      </c>
      <c r="K76" s="16">
        <f>(J76*100)/J75</f>
        <v>119.40741925716011</v>
      </c>
      <c r="L76" s="12">
        <v>7</v>
      </c>
      <c r="M76" s="17">
        <f t="shared" ref="M76:N88" si="10">(M28+M44+M60)/3</f>
        <v>4.8233333333333333</v>
      </c>
      <c r="N76" s="14">
        <f t="shared" si="10"/>
        <v>24.810000000000002</v>
      </c>
      <c r="O76" s="12">
        <v>9</v>
      </c>
      <c r="P76" s="16">
        <f t="shared" ref="P76:P88" si="11">(P28+P44+P60)/3</f>
        <v>679.66666666666663</v>
      </c>
      <c r="Q76" s="131">
        <f t="shared" ref="Q76:Q88" si="12">E76+F76+L76+O76</f>
        <v>32</v>
      </c>
    </row>
    <row r="77" spans="1:17" s="4" customFormat="1" ht="12.75" x14ac:dyDescent="0.2">
      <c r="A77" s="12">
        <v>3</v>
      </c>
      <c r="B77" s="11" t="s">
        <v>51</v>
      </c>
      <c r="C77" s="14">
        <f t="shared" si="8"/>
        <v>3.1266666666666665</v>
      </c>
      <c r="D77" s="16">
        <f>(C77*100)/C75</f>
        <v>122.45430809399477</v>
      </c>
      <c r="E77" s="12">
        <v>7</v>
      </c>
      <c r="F77" s="16">
        <f t="shared" si="9"/>
        <v>9</v>
      </c>
      <c r="G77" s="17">
        <f t="shared" si="9"/>
        <v>120.33333333333333</v>
      </c>
      <c r="H77" s="16">
        <f t="shared" si="9"/>
        <v>98.333333333333329</v>
      </c>
      <c r="I77" s="17">
        <f t="shared" si="9"/>
        <v>47.066666666666663</v>
      </c>
      <c r="J77" s="14">
        <f t="shared" si="7"/>
        <v>1.4716177777777775</v>
      </c>
      <c r="K77" s="16">
        <f>(J77*100)/J75</f>
        <v>126.11632606033592</v>
      </c>
      <c r="L77" s="12">
        <v>8</v>
      </c>
      <c r="M77" s="17">
        <f t="shared" si="10"/>
        <v>4.4866666666666672</v>
      </c>
      <c r="N77" s="14">
        <f t="shared" si="10"/>
        <v>23.153333333333336</v>
      </c>
      <c r="O77" s="12">
        <v>9</v>
      </c>
      <c r="P77" s="16">
        <f t="shared" si="11"/>
        <v>675.66666666666663</v>
      </c>
      <c r="Q77" s="131">
        <f t="shared" si="12"/>
        <v>33</v>
      </c>
    </row>
    <row r="78" spans="1:17" s="4" customFormat="1" ht="13.5" customHeight="1" x14ac:dyDescent="0.2">
      <c r="A78" s="12">
        <v>4</v>
      </c>
      <c r="B78" s="11" t="s">
        <v>124</v>
      </c>
      <c r="C78" s="14">
        <f t="shared" si="8"/>
        <v>2.78</v>
      </c>
      <c r="D78" s="16">
        <f>(C78*100)/C75</f>
        <v>108.87728459530027</v>
      </c>
      <c r="E78" s="12">
        <v>6</v>
      </c>
      <c r="F78" s="16">
        <f t="shared" si="9"/>
        <v>8.6666666666666661</v>
      </c>
      <c r="G78" s="17">
        <f t="shared" si="9"/>
        <v>123</v>
      </c>
      <c r="H78" s="16">
        <f t="shared" si="9"/>
        <v>99</v>
      </c>
      <c r="I78" s="17">
        <f t="shared" si="9"/>
        <v>44.933333333333337</v>
      </c>
      <c r="J78" s="14">
        <f t="shared" si="7"/>
        <v>1.2491466666666666</v>
      </c>
      <c r="K78" s="16">
        <f>(J78*100)/J75</f>
        <v>107.05075100982108</v>
      </c>
      <c r="L78" s="12">
        <v>6</v>
      </c>
      <c r="M78" s="17">
        <f t="shared" si="10"/>
        <v>4.53</v>
      </c>
      <c r="N78" s="14">
        <f t="shared" si="10"/>
        <v>26.563333333333333</v>
      </c>
      <c r="O78" s="12">
        <v>9</v>
      </c>
      <c r="P78" s="16">
        <f t="shared" si="11"/>
        <v>676.33333333333337</v>
      </c>
      <c r="Q78" s="131">
        <f t="shared" si="12"/>
        <v>29.666666666666664</v>
      </c>
    </row>
    <row r="79" spans="1:17" s="4" customFormat="1" ht="25.5" x14ac:dyDescent="0.2">
      <c r="A79" s="12">
        <v>5</v>
      </c>
      <c r="B79" s="11" t="s">
        <v>125</v>
      </c>
      <c r="C79" s="14">
        <f t="shared" si="8"/>
        <v>3.0133333333333336</v>
      </c>
      <c r="D79" s="16">
        <f>(C79*100)/C75</f>
        <v>118.01566579634466</v>
      </c>
      <c r="E79" s="12">
        <v>7</v>
      </c>
      <c r="F79" s="16">
        <f t="shared" si="9"/>
        <v>8.6666666666666661</v>
      </c>
      <c r="G79" s="17">
        <f t="shared" si="9"/>
        <v>116.66666666666667</v>
      </c>
      <c r="H79" s="16">
        <f t="shared" si="9"/>
        <v>99</v>
      </c>
      <c r="I79" s="17">
        <f t="shared" si="9"/>
        <v>46.4</v>
      </c>
      <c r="J79" s="14">
        <f t="shared" si="7"/>
        <v>1.3981866666666667</v>
      </c>
      <c r="K79" s="16">
        <f>(J79*100)/J75</f>
        <v>119.82334557878316</v>
      </c>
      <c r="L79" s="12">
        <v>7</v>
      </c>
      <c r="M79" s="17">
        <f t="shared" si="10"/>
        <v>4.6166666666666671</v>
      </c>
      <c r="N79" s="14">
        <f t="shared" si="10"/>
        <v>24.463333333333335</v>
      </c>
      <c r="O79" s="12">
        <v>9</v>
      </c>
      <c r="P79" s="16">
        <f t="shared" si="11"/>
        <v>678.33333333333337</v>
      </c>
      <c r="Q79" s="131">
        <f t="shared" si="12"/>
        <v>31.666666666666664</v>
      </c>
    </row>
    <row r="80" spans="1:17" s="4" customFormat="1" ht="12.75" x14ac:dyDescent="0.2">
      <c r="A80" s="12">
        <v>6</v>
      </c>
      <c r="B80" s="11" t="s">
        <v>126</v>
      </c>
      <c r="C80" s="14">
        <f t="shared" si="8"/>
        <v>3.0466666666666669</v>
      </c>
      <c r="D80" s="16">
        <f>(C80*100)/C75</f>
        <v>119.32114882506528</v>
      </c>
      <c r="E80" s="12">
        <v>7</v>
      </c>
      <c r="F80" s="16">
        <f t="shared" si="9"/>
        <v>9</v>
      </c>
      <c r="G80" s="17">
        <f t="shared" si="9"/>
        <v>113.33333333333333</v>
      </c>
      <c r="H80" s="16">
        <f t="shared" si="9"/>
        <v>97</v>
      </c>
      <c r="I80" s="17">
        <f t="shared" si="9"/>
        <v>46.433333333333337</v>
      </c>
      <c r="J80" s="14">
        <f t="shared" si="7"/>
        <v>1.4146688888888892</v>
      </c>
      <c r="K80" s="16">
        <f>(J80*100)/J75</f>
        <v>121.23585726718885</v>
      </c>
      <c r="L80" s="12">
        <v>7</v>
      </c>
      <c r="M80" s="17">
        <f t="shared" si="10"/>
        <v>4.5133333333333328</v>
      </c>
      <c r="N80" s="14">
        <f t="shared" si="10"/>
        <v>23.69</v>
      </c>
      <c r="O80" s="12">
        <v>9</v>
      </c>
      <c r="P80" s="16">
        <f t="shared" si="11"/>
        <v>679</v>
      </c>
      <c r="Q80" s="131">
        <f t="shared" si="12"/>
        <v>32</v>
      </c>
    </row>
    <row r="81" spans="1:17" s="4" customFormat="1" ht="12.75" x14ac:dyDescent="0.2">
      <c r="A81" s="12">
        <v>7</v>
      </c>
      <c r="B81" s="11" t="s">
        <v>127</v>
      </c>
      <c r="C81" s="14">
        <f t="shared" si="8"/>
        <v>2.4499999999999997</v>
      </c>
      <c r="D81" s="16">
        <f>(C81*100)/C75</f>
        <v>95.953002610966053</v>
      </c>
      <c r="E81" s="12">
        <v>5</v>
      </c>
      <c r="F81" s="16">
        <f t="shared" si="9"/>
        <v>9</v>
      </c>
      <c r="G81" s="17">
        <f t="shared" si="9"/>
        <v>119</v>
      </c>
      <c r="H81" s="16">
        <f t="shared" si="9"/>
        <v>99</v>
      </c>
      <c r="I81" s="17">
        <f t="shared" si="9"/>
        <v>46.333333333333336</v>
      </c>
      <c r="J81" s="14">
        <f t="shared" si="7"/>
        <v>1.1351666666666667</v>
      </c>
      <c r="K81" s="16">
        <f>(J81*100)/J75</f>
        <v>97.282767052693501</v>
      </c>
      <c r="L81" s="12">
        <v>5</v>
      </c>
      <c r="M81" s="17">
        <f t="shared" si="10"/>
        <v>4.7399999999999993</v>
      </c>
      <c r="N81" s="14">
        <f t="shared" si="10"/>
        <v>25.95</v>
      </c>
      <c r="O81" s="12">
        <v>9</v>
      </c>
      <c r="P81" s="16">
        <f t="shared" si="11"/>
        <v>654.66666666666663</v>
      </c>
      <c r="Q81" s="131">
        <f t="shared" si="12"/>
        <v>28</v>
      </c>
    </row>
    <row r="82" spans="1:17" s="4" customFormat="1" ht="12.75" x14ac:dyDescent="0.2">
      <c r="A82" s="12">
        <v>8</v>
      </c>
      <c r="B82" s="11" t="s">
        <v>128</v>
      </c>
      <c r="C82" s="14">
        <f t="shared" si="8"/>
        <v>2.4033333333333338</v>
      </c>
      <c r="D82" s="16">
        <f>(C82*100)/C75</f>
        <v>94.125326370757193</v>
      </c>
      <c r="E82" s="12">
        <v>4</v>
      </c>
      <c r="F82" s="16">
        <f t="shared" si="9"/>
        <v>8.6666666666666661</v>
      </c>
      <c r="G82" s="17">
        <f t="shared" si="9"/>
        <v>114.33333333333333</v>
      </c>
      <c r="H82" s="16">
        <f t="shared" si="9"/>
        <v>98.666666666666671</v>
      </c>
      <c r="I82" s="17">
        <f t="shared" si="9"/>
        <v>45.6</v>
      </c>
      <c r="J82" s="14">
        <f t="shared" si="7"/>
        <v>1.0959200000000002</v>
      </c>
      <c r="K82" s="16">
        <f>(J82*100)/J75</f>
        <v>93.919362855722696</v>
      </c>
      <c r="L82" s="12">
        <v>4</v>
      </c>
      <c r="M82" s="17">
        <f t="shared" si="10"/>
        <v>4.6333333333333329</v>
      </c>
      <c r="N82" s="14">
        <f t="shared" si="10"/>
        <v>26.03</v>
      </c>
      <c r="O82" s="12">
        <v>9</v>
      </c>
      <c r="P82" s="16">
        <f t="shared" si="11"/>
        <v>655.66666666666663</v>
      </c>
      <c r="Q82" s="131">
        <f t="shared" si="12"/>
        <v>25.666666666666664</v>
      </c>
    </row>
    <row r="83" spans="1:17" s="4" customFormat="1" ht="12.75" x14ac:dyDescent="0.2">
      <c r="A83" s="12">
        <v>9</v>
      </c>
      <c r="B83" s="11" t="s">
        <v>129</v>
      </c>
      <c r="C83" s="14">
        <f t="shared" si="8"/>
        <v>2.1066666666666669</v>
      </c>
      <c r="D83" s="16">
        <f>(C83*100)/C75</f>
        <v>82.506527415143609</v>
      </c>
      <c r="E83" s="12">
        <v>3</v>
      </c>
      <c r="F83" s="16">
        <f t="shared" si="9"/>
        <v>8.3333333333333339</v>
      </c>
      <c r="G83" s="17">
        <f t="shared" si="9"/>
        <v>111</v>
      </c>
      <c r="H83" s="16">
        <f t="shared" si="9"/>
        <v>98</v>
      </c>
      <c r="I83" s="17">
        <f t="shared" si="9"/>
        <v>44.733333333333327</v>
      </c>
      <c r="J83" s="14">
        <f t="shared" si="7"/>
        <v>0.94238222222222223</v>
      </c>
      <c r="K83" s="16">
        <f>(J83*100)/J75</f>
        <v>80.761312757930469</v>
      </c>
      <c r="L83" s="12">
        <v>3</v>
      </c>
      <c r="M83" s="17">
        <f t="shared" si="10"/>
        <v>4.1900000000000004</v>
      </c>
      <c r="N83" s="14">
        <f t="shared" si="10"/>
        <v>26.373333333333335</v>
      </c>
      <c r="O83" s="12">
        <v>9</v>
      </c>
      <c r="P83" s="16">
        <f t="shared" si="11"/>
        <v>644.66666666666663</v>
      </c>
      <c r="Q83" s="131">
        <f t="shared" si="12"/>
        <v>23.333333333333336</v>
      </c>
    </row>
    <row r="84" spans="1:17" s="4" customFormat="1" ht="12.75" x14ac:dyDescent="0.2">
      <c r="A84" s="12">
        <v>10</v>
      </c>
      <c r="B84" s="11" t="s">
        <v>130</v>
      </c>
      <c r="C84" s="14">
        <f t="shared" si="8"/>
        <v>1.61</v>
      </c>
      <c r="D84" s="16">
        <f>(C84*100)/C75</f>
        <v>63.054830287206272</v>
      </c>
      <c r="E84" s="12">
        <v>1</v>
      </c>
      <c r="F84" s="16">
        <f t="shared" si="9"/>
        <v>8.6666666666666661</v>
      </c>
      <c r="G84" s="17">
        <f t="shared" si="9"/>
        <v>110.33333333333333</v>
      </c>
      <c r="H84" s="16">
        <f t="shared" si="9"/>
        <v>97</v>
      </c>
      <c r="I84" s="17">
        <f t="shared" si="9"/>
        <v>47.266666666666673</v>
      </c>
      <c r="J84" s="14">
        <f t="shared" si="7"/>
        <v>0.76099333333333352</v>
      </c>
      <c r="K84" s="16">
        <f>(J84*100)/J75</f>
        <v>65.216447372179786</v>
      </c>
      <c r="L84" s="12">
        <v>1</v>
      </c>
      <c r="M84" s="17">
        <f t="shared" si="10"/>
        <v>4.9266666666666667</v>
      </c>
      <c r="N84" s="14">
        <f t="shared" si="10"/>
        <v>24.296666666666667</v>
      </c>
      <c r="O84" s="12">
        <v>9</v>
      </c>
      <c r="P84" s="16">
        <f t="shared" si="11"/>
        <v>656.66666666666663</v>
      </c>
      <c r="Q84" s="131">
        <f t="shared" si="12"/>
        <v>19.666666666666664</v>
      </c>
    </row>
    <row r="85" spans="1:17" s="4" customFormat="1" ht="12.75" x14ac:dyDescent="0.2">
      <c r="A85" s="12">
        <v>11</v>
      </c>
      <c r="B85" s="11" t="s">
        <v>131</v>
      </c>
      <c r="C85" s="14">
        <f t="shared" si="8"/>
        <v>2.06</v>
      </c>
      <c r="D85" s="16">
        <f>(C85*100)/C75</f>
        <v>80.678851174934735</v>
      </c>
      <c r="E85" s="12">
        <v>3</v>
      </c>
      <c r="F85" s="16">
        <f t="shared" si="9"/>
        <v>8.6666666666666661</v>
      </c>
      <c r="G85" s="17">
        <f t="shared" si="9"/>
        <v>110.33333333333333</v>
      </c>
      <c r="H85" s="16">
        <f t="shared" si="9"/>
        <v>102.66666666666667</v>
      </c>
      <c r="I85" s="17">
        <f t="shared" si="9"/>
        <v>44.833333333333336</v>
      </c>
      <c r="J85" s="14">
        <f t="shared" si="7"/>
        <v>0.92356666666666665</v>
      </c>
      <c r="K85" s="16">
        <f>(J85*100)/J75</f>
        <v>79.148836491821427</v>
      </c>
      <c r="L85" s="12">
        <v>3</v>
      </c>
      <c r="M85" s="17">
        <f t="shared" si="10"/>
        <v>5.5166666666666666</v>
      </c>
      <c r="N85" s="14">
        <f t="shared" si="10"/>
        <v>27.953333333333333</v>
      </c>
      <c r="O85" s="12">
        <v>9</v>
      </c>
      <c r="P85" s="16">
        <f t="shared" si="11"/>
        <v>645</v>
      </c>
      <c r="Q85" s="131">
        <f t="shared" si="12"/>
        <v>23.666666666666664</v>
      </c>
    </row>
    <row r="86" spans="1:17" s="4" customFormat="1" ht="12.75" x14ac:dyDescent="0.2">
      <c r="A86" s="12">
        <v>12</v>
      </c>
      <c r="B86" s="11" t="s">
        <v>132</v>
      </c>
      <c r="C86" s="14">
        <f t="shared" si="8"/>
        <v>2.4466666666666668</v>
      </c>
      <c r="D86" s="16">
        <f>(C86*100)/C75</f>
        <v>95.822454308094009</v>
      </c>
      <c r="E86" s="12">
        <v>5</v>
      </c>
      <c r="F86" s="16">
        <f t="shared" si="9"/>
        <v>8.6666666666666661</v>
      </c>
      <c r="G86" s="17">
        <f t="shared" si="9"/>
        <v>112.66666666666667</v>
      </c>
      <c r="H86" s="16">
        <f t="shared" si="9"/>
        <v>102.66666666666667</v>
      </c>
      <c r="I86" s="17">
        <f t="shared" si="9"/>
        <v>44.733333333333327</v>
      </c>
      <c r="J86" s="14">
        <f t="shared" si="7"/>
        <v>1.0944755555555554</v>
      </c>
      <c r="K86" s="16">
        <f>(J86*100)/J75</f>
        <v>93.795575260001527</v>
      </c>
      <c r="L86" s="12">
        <v>4</v>
      </c>
      <c r="M86" s="17">
        <f t="shared" si="10"/>
        <v>5.416666666666667</v>
      </c>
      <c r="N86" s="14">
        <f t="shared" si="10"/>
        <v>27.196666666666669</v>
      </c>
      <c r="O86" s="12">
        <v>9</v>
      </c>
      <c r="P86" s="16">
        <f t="shared" si="11"/>
        <v>639.66666666666663</v>
      </c>
      <c r="Q86" s="131">
        <f t="shared" si="12"/>
        <v>26.666666666666664</v>
      </c>
    </row>
    <row r="87" spans="1:17" s="4" customFormat="1" ht="12.75" x14ac:dyDescent="0.2">
      <c r="A87" s="12">
        <v>13</v>
      </c>
      <c r="B87" s="11" t="s">
        <v>133</v>
      </c>
      <c r="C87" s="14">
        <f t="shared" si="8"/>
        <v>2.5299999999999998</v>
      </c>
      <c r="D87" s="16">
        <f>(C87*100)/C75</f>
        <v>99.086161879895556</v>
      </c>
      <c r="E87" s="12">
        <v>5</v>
      </c>
      <c r="F87" s="16">
        <f t="shared" si="9"/>
        <v>9</v>
      </c>
      <c r="G87" s="17">
        <f t="shared" si="9"/>
        <v>123</v>
      </c>
      <c r="H87" s="16">
        <f t="shared" si="9"/>
        <v>103</v>
      </c>
      <c r="I87" s="17">
        <f t="shared" si="9"/>
        <v>46.1</v>
      </c>
      <c r="J87" s="14">
        <f t="shared" si="7"/>
        <v>1.1663299999999999</v>
      </c>
      <c r="K87" s="16">
        <f>(J87*100)/J75</f>
        <v>99.953436819763311</v>
      </c>
      <c r="L87" s="12">
        <v>5</v>
      </c>
      <c r="M87" s="17">
        <f t="shared" si="10"/>
        <v>5.3266666666666671</v>
      </c>
      <c r="N87" s="14">
        <f t="shared" si="10"/>
        <v>25.833333333333332</v>
      </c>
      <c r="O87" s="12">
        <v>9</v>
      </c>
      <c r="P87" s="16">
        <f t="shared" si="11"/>
        <v>639.66666666666663</v>
      </c>
      <c r="Q87" s="131">
        <f t="shared" si="12"/>
        <v>28</v>
      </c>
    </row>
    <row r="88" spans="1:17" s="4" customFormat="1" ht="12.75" x14ac:dyDescent="0.2">
      <c r="A88" s="12">
        <v>14</v>
      </c>
      <c r="B88" s="11" t="s">
        <v>134</v>
      </c>
      <c r="C88" s="14">
        <f t="shared" si="8"/>
        <v>2.6</v>
      </c>
      <c r="D88" s="16">
        <f>(C88*100)/C75</f>
        <v>101.82767624020889</v>
      </c>
      <c r="E88" s="12">
        <v>5</v>
      </c>
      <c r="F88" s="16">
        <f t="shared" si="9"/>
        <v>9</v>
      </c>
      <c r="G88" s="17">
        <f t="shared" si="9"/>
        <v>121.33333333333333</v>
      </c>
      <c r="H88" s="16">
        <f t="shared" si="9"/>
        <v>99.333333333333329</v>
      </c>
      <c r="I88" s="17">
        <f t="shared" si="9"/>
        <v>45.066666666666663</v>
      </c>
      <c r="J88" s="14">
        <f t="shared" si="7"/>
        <v>1.1717333333333333</v>
      </c>
      <c r="K88" s="16">
        <f>(J88*100)/J75</f>
        <v>100.41649764898787</v>
      </c>
      <c r="L88" s="12">
        <v>5</v>
      </c>
      <c r="M88" s="17">
        <f t="shared" si="10"/>
        <v>5.336666666666666</v>
      </c>
      <c r="N88" s="14">
        <f t="shared" si="10"/>
        <v>26.36</v>
      </c>
      <c r="O88" s="12">
        <v>9</v>
      </c>
      <c r="P88" s="16">
        <f t="shared" si="11"/>
        <v>642.33333333333337</v>
      </c>
      <c r="Q88" s="131">
        <f t="shared" si="12"/>
        <v>28</v>
      </c>
    </row>
  </sheetData>
  <mergeCells count="8">
    <mergeCell ref="Q6:Q7"/>
    <mergeCell ref="A25:B25"/>
    <mergeCell ref="A6:A7"/>
    <mergeCell ref="B6:B7"/>
    <mergeCell ref="C6:E6"/>
    <mergeCell ref="J6:L6"/>
    <mergeCell ref="N6:O6"/>
    <mergeCell ref="P6:P7"/>
  </mergeCells>
  <phoneticPr fontId="0" type="noConversion"/>
  <pageMargins left="0.25" right="0.25" top="0.75" bottom="0.75" header="0.3" footer="0.3"/>
  <pageSetup orientation="landscape" r:id="rId1"/>
  <headerFooter>
    <oddHeader>&amp;LVasaras rapsis šķirņu saimniecisko īpašību novērtēšana 2013. gadā</oddHeader>
    <oddFooter>&amp;CLapa &amp;P no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"/>
  <sheetViews>
    <sheetView workbookViewId="0">
      <selection activeCell="E34" sqref="E34"/>
    </sheetView>
  </sheetViews>
  <sheetFormatPr defaultRowHeight="14.25" x14ac:dyDescent="0.2"/>
  <cols>
    <col min="1" max="1" width="5.28515625" style="3" customWidth="1"/>
    <col min="2" max="2" width="14.28515625" style="3" customWidth="1"/>
    <col min="3" max="3" width="12.85546875" style="3" customWidth="1"/>
    <col min="4" max="5" width="11.5703125" style="3" customWidth="1"/>
    <col min="6" max="7" width="11.7109375" style="3" customWidth="1"/>
    <col min="8" max="8" width="11.42578125" style="3" customWidth="1"/>
    <col min="9" max="9" width="9.140625" style="3"/>
    <col min="10" max="10" width="11.5703125" style="3" customWidth="1"/>
    <col min="11" max="11" width="12.42578125" style="3" customWidth="1"/>
    <col min="12" max="12" width="11.85546875" style="3" customWidth="1"/>
    <col min="13" max="13" width="9.140625" style="3"/>
    <col min="14" max="14" width="14.140625" style="3" customWidth="1"/>
    <col min="15" max="16384" width="9.140625" style="3"/>
  </cols>
  <sheetData>
    <row r="2" spans="1:14" ht="15" x14ac:dyDescent="0.2">
      <c r="C2" s="22" t="s">
        <v>217</v>
      </c>
      <c r="D2" s="22"/>
      <c r="E2" s="22"/>
      <c r="F2" s="22"/>
      <c r="G2" s="22"/>
      <c r="H2" s="22"/>
      <c r="I2" s="23"/>
    </row>
    <row r="3" spans="1:14" ht="15" x14ac:dyDescent="0.2">
      <c r="A3" s="23"/>
    </row>
    <row r="4" spans="1:14" ht="15" x14ac:dyDescent="0.2">
      <c r="A4" s="24"/>
    </row>
    <row r="5" spans="1:14" x14ac:dyDescent="0.2">
      <c r="A5" s="5" t="s">
        <v>181</v>
      </c>
    </row>
    <row r="6" spans="1:14" x14ac:dyDescent="0.2">
      <c r="A6" s="5" t="s">
        <v>247</v>
      </c>
    </row>
    <row r="7" spans="1:14" s="4" customFormat="1" ht="48" customHeight="1" x14ac:dyDescent="0.2">
      <c r="A7" s="152" t="s">
        <v>11</v>
      </c>
      <c r="B7" s="152" t="s">
        <v>0</v>
      </c>
      <c r="C7" s="152" t="s">
        <v>162</v>
      </c>
      <c r="D7" s="182" t="s">
        <v>248</v>
      </c>
      <c r="E7" s="183"/>
      <c r="F7" s="152" t="s">
        <v>163</v>
      </c>
      <c r="G7" s="152"/>
      <c r="H7" s="152" t="s">
        <v>54</v>
      </c>
      <c r="I7" s="152" t="s">
        <v>52</v>
      </c>
      <c r="J7" s="152" t="s">
        <v>36</v>
      </c>
      <c r="K7" s="152" t="s">
        <v>57</v>
      </c>
      <c r="L7" s="152" t="s">
        <v>55</v>
      </c>
      <c r="M7" s="152"/>
      <c r="N7" s="181" t="s">
        <v>30</v>
      </c>
    </row>
    <row r="8" spans="1:14" s="4" customFormat="1" ht="12.75" x14ac:dyDescent="0.2">
      <c r="A8" s="152"/>
      <c r="B8" s="152"/>
      <c r="C8" s="152"/>
      <c r="D8" s="26" t="s">
        <v>63</v>
      </c>
      <c r="E8" s="26" t="s">
        <v>6</v>
      </c>
      <c r="F8" s="12" t="s">
        <v>15</v>
      </c>
      <c r="G8" s="12" t="s">
        <v>6</v>
      </c>
      <c r="H8" s="152"/>
      <c r="I8" s="152"/>
      <c r="J8" s="152"/>
      <c r="K8" s="152"/>
      <c r="L8" s="11" t="s">
        <v>56</v>
      </c>
      <c r="M8" s="11" t="s">
        <v>6</v>
      </c>
      <c r="N8" s="181"/>
    </row>
    <row r="9" spans="1:14" x14ac:dyDescent="0.2">
      <c r="A9" s="5" t="s">
        <v>117</v>
      </c>
      <c r="N9" s="132"/>
    </row>
    <row r="10" spans="1:14" s="4" customFormat="1" ht="12.75" x14ac:dyDescent="0.2">
      <c r="A10" s="12">
        <v>1</v>
      </c>
      <c r="B10" s="11" t="s">
        <v>53</v>
      </c>
      <c r="C10" s="14">
        <v>2.97</v>
      </c>
      <c r="D10" s="12">
        <v>200.5</v>
      </c>
      <c r="E10" s="12">
        <v>4</v>
      </c>
      <c r="F10" s="12">
        <v>22.52</v>
      </c>
      <c r="G10" s="12">
        <v>7</v>
      </c>
      <c r="H10" s="12">
        <v>1</v>
      </c>
      <c r="I10" s="12">
        <v>95</v>
      </c>
      <c r="J10" s="12">
        <v>83</v>
      </c>
      <c r="K10" s="17">
        <v>7.5</v>
      </c>
      <c r="L10" s="12">
        <v>1.89</v>
      </c>
      <c r="M10" s="15">
        <v>1</v>
      </c>
      <c r="N10" s="150">
        <f>G10+K10+M10+E10</f>
        <v>19.5</v>
      </c>
    </row>
    <row r="11" spans="1:14" s="4" customFormat="1" ht="12.75" x14ac:dyDescent="0.2">
      <c r="A11" s="12">
        <v>2</v>
      </c>
      <c r="B11" s="11" t="s">
        <v>164</v>
      </c>
      <c r="C11" s="12">
        <v>3.89</v>
      </c>
      <c r="D11" s="12">
        <v>258.8</v>
      </c>
      <c r="E11" s="12">
        <v>5</v>
      </c>
      <c r="F11" s="12">
        <v>21.69</v>
      </c>
      <c r="G11" s="12">
        <v>6</v>
      </c>
      <c r="H11" s="12">
        <v>9</v>
      </c>
      <c r="I11" s="12">
        <v>74</v>
      </c>
      <c r="J11" s="12">
        <v>83</v>
      </c>
      <c r="K11" s="17">
        <v>7.8</v>
      </c>
      <c r="L11" s="12">
        <v>1.77</v>
      </c>
      <c r="M11" s="15">
        <v>1</v>
      </c>
      <c r="N11" s="150">
        <f>G11+K11+M11+E11</f>
        <v>19.8</v>
      </c>
    </row>
    <row r="12" spans="1:14" ht="15" x14ac:dyDescent="0.2">
      <c r="A12" s="24"/>
      <c r="N12" s="151"/>
    </row>
    <row r="13" spans="1:14" x14ac:dyDescent="0.2">
      <c r="A13" s="5" t="s">
        <v>161</v>
      </c>
      <c r="N13" s="151"/>
    </row>
    <row r="14" spans="1:14" s="4" customFormat="1" ht="12.75" x14ac:dyDescent="0.2">
      <c r="A14" s="12">
        <v>1</v>
      </c>
      <c r="B14" s="11" t="s">
        <v>53</v>
      </c>
      <c r="C14" s="12">
        <v>4.5599999999999996</v>
      </c>
      <c r="D14" s="17">
        <v>123</v>
      </c>
      <c r="E14" s="12">
        <v>2</v>
      </c>
      <c r="F14" s="12">
        <v>24.97</v>
      </c>
      <c r="G14" s="12">
        <v>8</v>
      </c>
      <c r="H14" s="12">
        <v>5</v>
      </c>
      <c r="I14" s="12">
        <v>107</v>
      </c>
      <c r="J14" s="12">
        <v>72</v>
      </c>
      <c r="K14" s="17">
        <v>7.2</v>
      </c>
      <c r="L14" s="12">
        <v>1.92</v>
      </c>
      <c r="M14" s="15">
        <v>1</v>
      </c>
      <c r="N14" s="150">
        <f>G14+K14+M14+E14</f>
        <v>18.2</v>
      </c>
    </row>
    <row r="15" spans="1:14" s="4" customFormat="1" ht="12.75" x14ac:dyDescent="0.2">
      <c r="A15" s="12">
        <v>2</v>
      </c>
      <c r="B15" s="11" t="s">
        <v>164</v>
      </c>
      <c r="C15" s="12">
        <v>4.5599999999999996</v>
      </c>
      <c r="D15" s="17">
        <v>321</v>
      </c>
      <c r="E15" s="12">
        <v>7</v>
      </c>
      <c r="F15" s="12">
        <v>22.86</v>
      </c>
      <c r="G15" s="12">
        <v>7</v>
      </c>
      <c r="H15" s="12">
        <v>7</v>
      </c>
      <c r="I15" s="12">
        <v>94</v>
      </c>
      <c r="J15" s="12">
        <v>80</v>
      </c>
      <c r="K15" s="17">
        <v>6.9</v>
      </c>
      <c r="L15" s="12">
        <v>1.87</v>
      </c>
      <c r="M15" s="15">
        <v>1</v>
      </c>
      <c r="N15" s="150">
        <f>G15+K15+M15+E15</f>
        <v>21.9</v>
      </c>
    </row>
    <row r="16" spans="1:14" x14ac:dyDescent="0.2">
      <c r="N16" s="132"/>
    </row>
    <row r="17" spans="1:14" x14ac:dyDescent="0.2">
      <c r="A17" s="5" t="s">
        <v>29</v>
      </c>
      <c r="N17" s="151"/>
    </row>
    <row r="18" spans="1:14" s="4" customFormat="1" ht="12.75" x14ac:dyDescent="0.2">
      <c r="A18" s="12">
        <v>1</v>
      </c>
      <c r="B18" s="11" t="s">
        <v>53</v>
      </c>
      <c r="C18" s="14">
        <f>(C10+C14)/2</f>
        <v>3.7649999999999997</v>
      </c>
      <c r="D18" s="17">
        <f>(D10+D14)/2</f>
        <v>161.75</v>
      </c>
      <c r="E18" s="12">
        <v>3</v>
      </c>
      <c r="F18" s="14">
        <f t="shared" ref="F18:H19" si="0">(F10+F14)/2</f>
        <v>23.744999999999997</v>
      </c>
      <c r="G18" s="12">
        <v>8</v>
      </c>
      <c r="H18" s="16">
        <f t="shared" si="0"/>
        <v>3</v>
      </c>
      <c r="I18" s="16">
        <f t="shared" ref="I18:L19" si="1">(I10+I14)/2</f>
        <v>101</v>
      </c>
      <c r="J18" s="16">
        <f t="shared" si="1"/>
        <v>77.5</v>
      </c>
      <c r="K18" s="17">
        <f t="shared" si="1"/>
        <v>7.35</v>
      </c>
      <c r="L18" s="14">
        <f t="shared" si="1"/>
        <v>1.9049999999999998</v>
      </c>
      <c r="M18" s="15">
        <v>1</v>
      </c>
      <c r="N18" s="150">
        <f>G18+K18+M18+E18</f>
        <v>19.350000000000001</v>
      </c>
    </row>
    <row r="19" spans="1:14" s="4" customFormat="1" ht="12.75" x14ac:dyDescent="0.2">
      <c r="A19" s="12">
        <v>2</v>
      </c>
      <c r="B19" s="11" t="s">
        <v>164</v>
      </c>
      <c r="C19" s="14">
        <f>(C11+C15)/2</f>
        <v>4.2249999999999996</v>
      </c>
      <c r="D19" s="17">
        <f>(D11+D15)/2</f>
        <v>289.89999999999998</v>
      </c>
      <c r="E19" s="12">
        <v>6</v>
      </c>
      <c r="F19" s="14">
        <f t="shared" si="0"/>
        <v>22.274999999999999</v>
      </c>
      <c r="G19" s="12">
        <v>7</v>
      </c>
      <c r="H19" s="16">
        <f t="shared" si="0"/>
        <v>8</v>
      </c>
      <c r="I19" s="16">
        <f t="shared" si="1"/>
        <v>84</v>
      </c>
      <c r="J19" s="16">
        <f t="shared" si="1"/>
        <v>81.5</v>
      </c>
      <c r="K19" s="17">
        <f t="shared" si="1"/>
        <v>7.35</v>
      </c>
      <c r="L19" s="14">
        <f t="shared" si="1"/>
        <v>1.82</v>
      </c>
      <c r="M19" s="15">
        <v>1</v>
      </c>
      <c r="N19" s="150">
        <f>G19+K19+M19+E19</f>
        <v>21.35</v>
      </c>
    </row>
  </sheetData>
  <mergeCells count="11">
    <mergeCell ref="J7:J8"/>
    <mergeCell ref="K7:K8"/>
    <mergeCell ref="I7:I8"/>
    <mergeCell ref="H7:H8"/>
    <mergeCell ref="F7:G7"/>
    <mergeCell ref="N7:N8"/>
    <mergeCell ref="A7:A8"/>
    <mergeCell ref="B7:B8"/>
    <mergeCell ref="C7:C8"/>
    <mergeCell ref="L7:M7"/>
    <mergeCell ref="D7:E7"/>
  </mergeCells>
  <phoneticPr fontId="0" type="noConversion"/>
  <pageMargins left="0.25" right="0.25" top="0.75" bottom="0.75" header="0.3" footer="0.3"/>
  <pageSetup orientation="landscape" r:id="rId1"/>
  <headerFooter>
    <oddHeader>&amp;CSaimniecisko īpašību novērtēšanas rezultāti zirņiem 2013.gadā</oddHeader>
    <oddFooter>&amp;CLapa &amp;P no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workbookViewId="0">
      <selection activeCell="I34" sqref="I34"/>
    </sheetView>
  </sheetViews>
  <sheetFormatPr defaultRowHeight="14.25" x14ac:dyDescent="0.2"/>
  <cols>
    <col min="1" max="1" width="5.28515625" style="3" customWidth="1"/>
    <col min="2" max="2" width="13.140625" style="3" customWidth="1"/>
    <col min="3" max="3" width="12.85546875" style="3" customWidth="1"/>
    <col min="4" max="5" width="11.5703125" style="3" customWidth="1"/>
    <col min="6" max="7" width="11.7109375" style="3" customWidth="1"/>
    <col min="8" max="8" width="11.42578125" style="3" customWidth="1"/>
    <col min="9" max="9" width="9.140625" style="3"/>
    <col min="10" max="10" width="11.5703125" style="3" customWidth="1"/>
    <col min="11" max="11" width="14" style="3" customWidth="1"/>
    <col min="12" max="16384" width="9.140625" style="3"/>
  </cols>
  <sheetData>
    <row r="2" spans="1:11" ht="15" x14ac:dyDescent="0.2">
      <c r="C2" s="22" t="s">
        <v>217</v>
      </c>
      <c r="D2" s="22"/>
      <c r="E2" s="22"/>
      <c r="F2" s="22"/>
      <c r="G2" s="22"/>
      <c r="H2" s="22"/>
      <c r="I2" s="23"/>
    </row>
    <row r="3" spans="1:11" ht="15" x14ac:dyDescent="0.2">
      <c r="A3" s="129" t="s">
        <v>209</v>
      </c>
      <c r="C3" s="3" t="s">
        <v>249</v>
      </c>
    </row>
    <row r="4" spans="1:11" s="4" customFormat="1" ht="48" customHeight="1" x14ac:dyDescent="0.2">
      <c r="A4" s="152" t="s">
        <v>11</v>
      </c>
      <c r="B4" s="152" t="s">
        <v>0</v>
      </c>
      <c r="C4" s="152" t="s">
        <v>162</v>
      </c>
      <c r="D4" s="182" t="s">
        <v>248</v>
      </c>
      <c r="E4" s="183"/>
      <c r="F4" s="152" t="s">
        <v>163</v>
      </c>
      <c r="G4" s="152"/>
      <c r="H4" s="152" t="s">
        <v>54</v>
      </c>
      <c r="I4" s="152" t="s">
        <v>52</v>
      </c>
      <c r="J4" s="152" t="s">
        <v>36</v>
      </c>
      <c r="K4" s="181" t="s">
        <v>30</v>
      </c>
    </row>
    <row r="5" spans="1:11" s="4" customFormat="1" ht="12.75" x14ac:dyDescent="0.2">
      <c r="A5" s="152"/>
      <c r="B5" s="152"/>
      <c r="C5" s="152"/>
      <c r="D5" s="26" t="s">
        <v>63</v>
      </c>
      <c r="E5" s="26" t="s">
        <v>6</v>
      </c>
      <c r="F5" s="12" t="s">
        <v>15</v>
      </c>
      <c r="G5" s="12" t="s">
        <v>6</v>
      </c>
      <c r="H5" s="152"/>
      <c r="I5" s="152"/>
      <c r="J5" s="152"/>
      <c r="K5" s="181"/>
    </row>
    <row r="6" spans="1:11" x14ac:dyDescent="0.2">
      <c r="A6" s="5" t="s">
        <v>117</v>
      </c>
      <c r="K6" s="132"/>
    </row>
    <row r="7" spans="1:11" s="4" customFormat="1" ht="12.75" x14ac:dyDescent="0.2">
      <c r="A7" s="12">
        <v>1</v>
      </c>
      <c r="B7" s="11" t="s">
        <v>165</v>
      </c>
      <c r="C7" s="14">
        <v>5.72</v>
      </c>
      <c r="D7" s="12">
        <v>507.5</v>
      </c>
      <c r="E7" s="12">
        <v>9</v>
      </c>
      <c r="F7" s="12">
        <v>31.23</v>
      </c>
      <c r="G7" s="12">
        <v>8</v>
      </c>
      <c r="H7" s="12">
        <v>8</v>
      </c>
      <c r="I7" s="12">
        <v>91</v>
      </c>
      <c r="J7" s="12">
        <v>90</v>
      </c>
      <c r="K7" s="150">
        <f>G7+E7</f>
        <v>17</v>
      </c>
    </row>
    <row r="8" spans="1:11" s="4" customFormat="1" ht="12.75" x14ac:dyDescent="0.2">
      <c r="A8" s="12">
        <v>2</v>
      </c>
      <c r="B8" s="11" t="s">
        <v>166</v>
      </c>
      <c r="C8" s="12">
        <v>5.81</v>
      </c>
      <c r="D8" s="17">
        <v>435</v>
      </c>
      <c r="E8" s="16">
        <v>9</v>
      </c>
      <c r="F8" s="12">
        <v>28.56</v>
      </c>
      <c r="G8" s="12">
        <v>6</v>
      </c>
      <c r="H8" s="12">
        <v>8</v>
      </c>
      <c r="I8" s="12">
        <v>93</v>
      </c>
      <c r="J8" s="12">
        <v>90</v>
      </c>
      <c r="K8" s="150">
        <f>G8+E8</f>
        <v>15</v>
      </c>
    </row>
    <row r="9" spans="1:11" ht="15" x14ac:dyDescent="0.2">
      <c r="A9" s="24"/>
      <c r="K9" s="151"/>
    </row>
    <row r="10" spans="1:11" x14ac:dyDescent="0.2">
      <c r="A10" s="5" t="s">
        <v>216</v>
      </c>
      <c r="K10" s="151"/>
    </row>
    <row r="11" spans="1:11" s="4" customFormat="1" ht="12.75" x14ac:dyDescent="0.2">
      <c r="A11" s="12">
        <v>1</v>
      </c>
      <c r="B11" s="11" t="s">
        <v>165</v>
      </c>
      <c r="C11" s="12">
        <v>3.16</v>
      </c>
      <c r="D11" s="12">
        <v>487</v>
      </c>
      <c r="E11" s="12">
        <v>9</v>
      </c>
      <c r="F11" s="12">
        <v>31.87</v>
      </c>
      <c r="G11" s="12">
        <v>8</v>
      </c>
      <c r="H11" s="12">
        <v>9</v>
      </c>
      <c r="I11" s="12">
        <v>81</v>
      </c>
      <c r="J11" s="12">
        <v>96</v>
      </c>
      <c r="K11" s="150">
        <f>G11+E11</f>
        <v>17</v>
      </c>
    </row>
    <row r="12" spans="1:11" s="4" customFormat="1" ht="12.75" x14ac:dyDescent="0.2">
      <c r="A12" s="12">
        <v>2</v>
      </c>
      <c r="B12" s="11" t="s">
        <v>166</v>
      </c>
      <c r="C12" s="12">
        <v>3.12</v>
      </c>
      <c r="D12" s="12">
        <v>528</v>
      </c>
      <c r="E12" s="12">
        <v>9</v>
      </c>
      <c r="F12" s="12">
        <v>28.32</v>
      </c>
      <c r="G12" s="12">
        <v>6</v>
      </c>
      <c r="H12" s="12">
        <v>9</v>
      </c>
      <c r="I12" s="12">
        <v>87</v>
      </c>
      <c r="J12" s="12">
        <v>96</v>
      </c>
      <c r="K12" s="150">
        <f>G12+E12</f>
        <v>15</v>
      </c>
    </row>
    <row r="13" spans="1:11" x14ac:dyDescent="0.2">
      <c r="K13" s="132"/>
    </row>
    <row r="14" spans="1:11" x14ac:dyDescent="0.2">
      <c r="A14" s="5" t="s">
        <v>29</v>
      </c>
      <c r="K14" s="151"/>
    </row>
    <row r="15" spans="1:11" s="4" customFormat="1" ht="12.75" x14ac:dyDescent="0.2">
      <c r="A15" s="12">
        <v>1</v>
      </c>
      <c r="B15" s="11" t="s">
        <v>165</v>
      </c>
      <c r="C15" s="14">
        <f>(C7+C11)/2</f>
        <v>4.4399999999999995</v>
      </c>
      <c r="D15" s="14">
        <f>(D7+D11)/2</f>
        <v>497.25</v>
      </c>
      <c r="E15" s="12">
        <v>9</v>
      </c>
      <c r="F15" s="14">
        <f t="shared" ref="F15:H16" si="0">(F7+F11)/2</f>
        <v>31.55</v>
      </c>
      <c r="G15" s="12">
        <v>8</v>
      </c>
      <c r="H15" s="16">
        <f t="shared" si="0"/>
        <v>8.5</v>
      </c>
      <c r="I15" s="16">
        <f>(I7+I11)/2</f>
        <v>86</v>
      </c>
      <c r="J15" s="16">
        <f>(J7+J11)/2</f>
        <v>93</v>
      </c>
      <c r="K15" s="150">
        <f>G15+E15</f>
        <v>17</v>
      </c>
    </row>
    <row r="16" spans="1:11" s="4" customFormat="1" ht="12.75" x14ac:dyDescent="0.2">
      <c r="A16" s="12">
        <v>2</v>
      </c>
      <c r="B16" s="11" t="s">
        <v>166</v>
      </c>
      <c r="C16" s="14">
        <f>(C8+C12)/2</f>
        <v>4.4649999999999999</v>
      </c>
      <c r="D16" s="14">
        <f>(D8+D12)/2</f>
        <v>481.5</v>
      </c>
      <c r="E16" s="12">
        <v>9</v>
      </c>
      <c r="F16" s="14">
        <f t="shared" si="0"/>
        <v>28.439999999999998</v>
      </c>
      <c r="G16" s="12">
        <v>6</v>
      </c>
      <c r="H16" s="16">
        <f t="shared" si="0"/>
        <v>8.5</v>
      </c>
      <c r="I16" s="16">
        <f>(I8+I12)/2</f>
        <v>90</v>
      </c>
      <c r="J16" s="16">
        <f>(J8+J12)/2</f>
        <v>93</v>
      </c>
      <c r="K16" s="150">
        <f>G16+E16</f>
        <v>15</v>
      </c>
    </row>
  </sheetData>
  <mergeCells count="9">
    <mergeCell ref="I4:I5"/>
    <mergeCell ref="J4:J5"/>
    <mergeCell ref="K4:K5"/>
    <mergeCell ref="D4:E4"/>
    <mergeCell ref="H4:H5"/>
    <mergeCell ref="A4:A5"/>
    <mergeCell ref="B4:B5"/>
    <mergeCell ref="C4:C5"/>
    <mergeCell ref="F4:G4"/>
  </mergeCells>
  <phoneticPr fontId="0" type="noConversion"/>
  <pageMargins left="0.25" right="0.25" top="0.75" bottom="0.75" header="0.3" footer="0.3"/>
  <pageSetup orientation="landscape" horizontalDpi="1200" verticalDpi="1200" r:id="rId1"/>
  <headerFooter>
    <oddHeader>&amp;CSaimniecisko īpašību novērtēšanas rezultāti lauka pupām 2013.gadā</oddHeader>
    <oddFooter>&amp;CLapa &amp;P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766"/>
  <sheetViews>
    <sheetView workbookViewId="0">
      <selection activeCell="B21" sqref="B21"/>
    </sheetView>
  </sheetViews>
  <sheetFormatPr defaultRowHeight="12.75" x14ac:dyDescent="0.2"/>
  <cols>
    <col min="1" max="1" width="4.5703125" style="4" customWidth="1"/>
    <col min="2" max="2" width="19.140625" style="4" customWidth="1"/>
    <col min="3" max="3" width="14.140625" style="4" customWidth="1"/>
    <col min="4" max="4" width="17.140625" style="4" customWidth="1"/>
    <col min="5" max="5" width="17.5703125" style="4" customWidth="1"/>
    <col min="6" max="6" width="14.7109375" style="4" customWidth="1"/>
    <col min="7" max="7" width="16.28515625" style="4" customWidth="1"/>
    <col min="8" max="8" width="13.7109375" style="4" customWidth="1"/>
    <col min="9" max="9" width="16.7109375" style="4" customWidth="1"/>
    <col min="10" max="12" width="15.140625" style="4" customWidth="1"/>
    <col min="13" max="13" width="14.42578125" style="4" customWidth="1"/>
    <col min="14" max="14" width="14.28515625" style="4" customWidth="1"/>
    <col min="15" max="15" width="13.42578125" style="4" customWidth="1"/>
    <col min="16" max="16" width="12.5703125" style="4" customWidth="1"/>
    <col min="17" max="17" width="11.140625" style="4" customWidth="1"/>
    <col min="18" max="18" width="10.5703125" style="4" customWidth="1"/>
    <col min="19" max="19" width="10.85546875" style="4" customWidth="1"/>
    <col min="20" max="20" width="9.28515625" style="4" customWidth="1"/>
    <col min="21" max="21" width="10.140625" style="4" customWidth="1"/>
    <col min="22" max="22" width="10.7109375" style="4" customWidth="1"/>
    <col min="23" max="23" width="11.140625" style="4" customWidth="1"/>
    <col min="24" max="24" width="9" style="4" customWidth="1"/>
    <col min="25" max="25" width="9.140625" style="4"/>
    <col min="26" max="26" width="13.5703125" style="4" customWidth="1"/>
    <col min="27" max="27" width="12.140625" style="4" customWidth="1"/>
    <col min="28" max="29" width="9.28515625" style="4" customWidth="1"/>
    <col min="30" max="30" width="10.5703125" style="4" customWidth="1"/>
    <col min="31" max="31" width="9.140625" style="4"/>
    <col min="32" max="32" width="8.28515625" style="4" customWidth="1"/>
    <col min="33" max="16384" width="9.140625" style="4"/>
  </cols>
  <sheetData>
    <row r="2" spans="1:32" ht="14.25" x14ac:dyDescent="0.2">
      <c r="A2" s="5"/>
      <c r="B2" s="5"/>
      <c r="C2" s="130" t="s">
        <v>220</v>
      </c>
      <c r="D2" s="5"/>
      <c r="E2" s="5"/>
      <c r="G2" s="5"/>
      <c r="H2" s="5"/>
      <c r="I2" s="5"/>
      <c r="J2" s="5"/>
      <c r="K2" s="5"/>
      <c r="L2" s="5"/>
    </row>
    <row r="3" spans="1:32" x14ac:dyDescent="0.2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32" x14ac:dyDescent="0.2">
      <c r="A4" s="5" t="s">
        <v>184</v>
      </c>
    </row>
    <row r="5" spans="1:32" x14ac:dyDescent="0.2">
      <c r="A5" s="5" t="s">
        <v>185</v>
      </c>
    </row>
    <row r="6" spans="1:32" x14ac:dyDescent="0.2">
      <c r="A6" s="82"/>
    </row>
    <row r="7" spans="1:32" ht="16.5" customHeight="1" thickBot="1" x14ac:dyDescent="0.25">
      <c r="A7" s="155" t="s">
        <v>12</v>
      </c>
      <c r="B7" s="155" t="s">
        <v>0</v>
      </c>
      <c r="C7" s="155" t="s">
        <v>186</v>
      </c>
      <c r="D7" s="155" t="s">
        <v>187</v>
      </c>
      <c r="E7" s="155" t="s">
        <v>22</v>
      </c>
      <c r="F7" s="155"/>
      <c r="G7" s="155" t="s">
        <v>188</v>
      </c>
      <c r="H7" s="155" t="s">
        <v>189</v>
      </c>
      <c r="I7" s="155" t="s">
        <v>23</v>
      </c>
      <c r="J7" s="155"/>
      <c r="K7" s="155" t="s">
        <v>190</v>
      </c>
      <c r="L7" s="155" t="s">
        <v>191</v>
      </c>
      <c r="M7" s="155" t="s">
        <v>24</v>
      </c>
      <c r="N7" s="155"/>
      <c r="O7" s="155" t="s">
        <v>26</v>
      </c>
      <c r="P7" s="155"/>
      <c r="Q7" s="155" t="s">
        <v>17</v>
      </c>
      <c r="R7" s="155"/>
      <c r="S7" s="155"/>
      <c r="T7" s="155"/>
      <c r="U7" s="155"/>
      <c r="V7" s="155"/>
      <c r="W7" s="155" t="s">
        <v>5</v>
      </c>
      <c r="X7" s="155"/>
      <c r="Y7" s="155"/>
      <c r="Z7" s="155"/>
      <c r="AA7" s="155" t="s">
        <v>10</v>
      </c>
      <c r="AB7" s="155" t="s">
        <v>7</v>
      </c>
      <c r="AC7" s="155" t="s">
        <v>200</v>
      </c>
      <c r="AD7" s="155" t="s">
        <v>8</v>
      </c>
      <c r="AE7" s="155" t="s">
        <v>9</v>
      </c>
      <c r="AF7" s="164" t="s">
        <v>21</v>
      </c>
    </row>
    <row r="8" spans="1:32" ht="22.5" customHeight="1" thickBot="1" x14ac:dyDescent="0.25">
      <c r="A8" s="156"/>
      <c r="B8" s="156"/>
      <c r="C8" s="156"/>
      <c r="D8" s="156"/>
      <c r="E8" s="157"/>
      <c r="F8" s="157"/>
      <c r="G8" s="156"/>
      <c r="H8" s="156"/>
      <c r="I8" s="157"/>
      <c r="J8" s="157"/>
      <c r="K8" s="156"/>
      <c r="L8" s="156"/>
      <c r="M8" s="157"/>
      <c r="N8" s="157"/>
      <c r="O8" s="157"/>
      <c r="P8" s="157"/>
      <c r="Q8" s="158" t="s">
        <v>18</v>
      </c>
      <c r="R8" s="158"/>
      <c r="S8" s="158" t="s">
        <v>2</v>
      </c>
      <c r="T8" s="158"/>
      <c r="U8" s="158" t="s">
        <v>19</v>
      </c>
      <c r="V8" s="158"/>
      <c r="W8" s="158" t="s">
        <v>18</v>
      </c>
      <c r="X8" s="158"/>
      <c r="Y8" s="167" t="s">
        <v>20</v>
      </c>
      <c r="Z8" s="167"/>
      <c r="AA8" s="156"/>
      <c r="AB8" s="156"/>
      <c r="AC8" s="156"/>
      <c r="AD8" s="156"/>
      <c r="AE8" s="156"/>
      <c r="AF8" s="165"/>
    </row>
    <row r="9" spans="1:32" ht="24" customHeight="1" thickBot="1" x14ac:dyDescent="0.25">
      <c r="A9" s="156"/>
      <c r="B9" s="156"/>
      <c r="C9" s="156"/>
      <c r="D9" s="156"/>
      <c r="E9" s="156" t="s">
        <v>15</v>
      </c>
      <c r="F9" s="156" t="s">
        <v>1</v>
      </c>
      <c r="G9" s="156"/>
      <c r="H9" s="156"/>
      <c r="I9" s="156" t="s">
        <v>15</v>
      </c>
      <c r="J9" s="156" t="s">
        <v>1</v>
      </c>
      <c r="K9" s="156"/>
      <c r="L9" s="156"/>
      <c r="M9" s="156" t="s">
        <v>15</v>
      </c>
      <c r="N9" s="156" t="s">
        <v>1</v>
      </c>
      <c r="O9" s="156" t="s">
        <v>15</v>
      </c>
      <c r="P9" s="156" t="s">
        <v>1</v>
      </c>
      <c r="Q9" s="154" t="s">
        <v>14</v>
      </c>
      <c r="R9" s="154"/>
      <c r="S9" s="154" t="s">
        <v>3</v>
      </c>
      <c r="T9" s="154"/>
      <c r="U9" s="154" t="s">
        <v>4</v>
      </c>
      <c r="V9" s="154"/>
      <c r="W9" s="154" t="s">
        <v>14</v>
      </c>
      <c r="X9" s="154"/>
      <c r="Y9" s="154" t="s">
        <v>13</v>
      </c>
      <c r="Z9" s="154"/>
      <c r="AA9" s="156"/>
      <c r="AB9" s="156"/>
      <c r="AC9" s="156"/>
      <c r="AD9" s="156"/>
      <c r="AE9" s="156"/>
      <c r="AF9" s="165"/>
    </row>
    <row r="10" spans="1:32" ht="31.5" customHeight="1" thickBot="1" x14ac:dyDescent="0.25">
      <c r="A10" s="163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26" t="s">
        <v>15</v>
      </c>
      <c r="R10" s="26" t="s">
        <v>1</v>
      </c>
      <c r="S10" s="26" t="s">
        <v>15</v>
      </c>
      <c r="T10" s="26" t="s">
        <v>1</v>
      </c>
      <c r="U10" s="26" t="s">
        <v>15</v>
      </c>
      <c r="V10" s="26" t="s">
        <v>1</v>
      </c>
      <c r="W10" s="26" t="s">
        <v>15</v>
      </c>
      <c r="X10" s="26" t="s">
        <v>1</v>
      </c>
      <c r="Y10" s="26" t="s">
        <v>15</v>
      </c>
      <c r="Z10" s="26" t="s">
        <v>1</v>
      </c>
      <c r="AA10" s="157"/>
      <c r="AB10" s="157"/>
      <c r="AC10" s="157"/>
      <c r="AD10" s="157"/>
      <c r="AE10" s="157"/>
      <c r="AF10" s="166"/>
    </row>
    <row r="11" spans="1:32" x14ac:dyDescent="0.2">
      <c r="A11" s="161" t="s">
        <v>216</v>
      </c>
      <c r="B11" s="162"/>
      <c r="C11" s="162"/>
      <c r="D11" s="162"/>
      <c r="E11" s="162"/>
      <c r="F11" s="162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37"/>
    </row>
    <row r="12" spans="1:32" x14ac:dyDescent="0.2">
      <c r="A12" s="11">
        <v>1</v>
      </c>
      <c r="B12" s="11" t="s">
        <v>224</v>
      </c>
      <c r="C12" s="115">
        <v>42.26</v>
      </c>
      <c r="D12" s="74">
        <v>40.71</v>
      </c>
      <c r="E12" s="74">
        <v>100</v>
      </c>
      <c r="F12" s="116">
        <v>5</v>
      </c>
      <c r="G12" s="74">
        <v>44.88</v>
      </c>
      <c r="H12" s="74">
        <v>44.26</v>
      </c>
      <c r="I12" s="74">
        <v>100</v>
      </c>
      <c r="J12" s="116">
        <v>5</v>
      </c>
      <c r="K12" s="116">
        <v>59.58</v>
      </c>
      <c r="L12" s="116">
        <v>53.01</v>
      </c>
      <c r="M12" s="74">
        <v>100</v>
      </c>
      <c r="N12" s="116">
        <v>5</v>
      </c>
      <c r="O12" s="74">
        <v>100</v>
      </c>
      <c r="P12" s="116">
        <v>5</v>
      </c>
      <c r="Q12" s="74">
        <v>3</v>
      </c>
      <c r="R12" s="116">
        <v>8</v>
      </c>
      <c r="S12" s="74">
        <v>38</v>
      </c>
      <c r="T12" s="116">
        <v>5</v>
      </c>
      <c r="U12" s="74">
        <v>0</v>
      </c>
      <c r="V12" s="116">
        <v>9</v>
      </c>
      <c r="W12" s="74">
        <v>10</v>
      </c>
      <c r="X12" s="116">
        <v>8</v>
      </c>
      <c r="Y12" s="74">
        <v>0</v>
      </c>
      <c r="Z12" s="116">
        <v>9</v>
      </c>
      <c r="AA12" s="74">
        <v>88</v>
      </c>
      <c r="AB12" s="74">
        <v>12.93</v>
      </c>
      <c r="AC12" s="74">
        <v>18.68</v>
      </c>
      <c r="AD12" s="117">
        <f>(12.175/100)*1000</f>
        <v>121.75000000000001</v>
      </c>
      <c r="AE12" s="117">
        <v>6</v>
      </c>
      <c r="AF12" s="136">
        <f>F12+J12+N12+P12+R12+T12+V12+X12+Z12</f>
        <v>59</v>
      </c>
    </row>
    <row r="13" spans="1:32" x14ac:dyDescent="0.2">
      <c r="A13" s="11">
        <v>2</v>
      </c>
      <c r="B13" s="11" t="s">
        <v>182</v>
      </c>
      <c r="C13" s="115">
        <v>32.4</v>
      </c>
      <c r="D13" s="74">
        <v>30.55</v>
      </c>
      <c r="E13" s="118">
        <f>(D13*E12)/D12</f>
        <v>75.042986981085733</v>
      </c>
      <c r="F13" s="116">
        <v>2</v>
      </c>
      <c r="G13" s="74">
        <v>43.19</v>
      </c>
      <c r="H13" s="74">
        <v>42.17</v>
      </c>
      <c r="I13" s="118">
        <f>(H13*I12)/H12</f>
        <v>95.277903298689566</v>
      </c>
      <c r="J13" s="116">
        <v>4</v>
      </c>
      <c r="K13" s="116">
        <v>42.71</v>
      </c>
      <c r="L13" s="116">
        <v>36.450000000000003</v>
      </c>
      <c r="M13" s="118">
        <f>(K13*M12)/K12</f>
        <v>71.685129237999334</v>
      </c>
      <c r="N13" s="116">
        <v>2</v>
      </c>
      <c r="O13" s="118">
        <f>(L13*M12)/L12</f>
        <v>68.760611205432951</v>
      </c>
      <c r="P13" s="116">
        <v>2</v>
      </c>
      <c r="Q13" s="74">
        <v>3</v>
      </c>
      <c r="R13" s="116">
        <v>8</v>
      </c>
      <c r="S13" s="74">
        <v>10</v>
      </c>
      <c r="T13" s="116">
        <v>8</v>
      </c>
      <c r="U13" s="74">
        <v>0</v>
      </c>
      <c r="V13" s="116">
        <v>9</v>
      </c>
      <c r="W13" s="74">
        <v>10</v>
      </c>
      <c r="X13" s="116">
        <v>8</v>
      </c>
      <c r="Y13" s="74">
        <v>0</v>
      </c>
      <c r="Z13" s="116">
        <v>9</v>
      </c>
      <c r="AA13" s="74">
        <v>84</v>
      </c>
      <c r="AB13" s="74">
        <v>13.66</v>
      </c>
      <c r="AC13" s="74">
        <v>19.41</v>
      </c>
      <c r="AD13" s="117">
        <f>(8.18/100)*1000</f>
        <v>81.8</v>
      </c>
      <c r="AE13" s="117">
        <v>6.9</v>
      </c>
      <c r="AF13" s="136">
        <f>F13+J13+N13+P13+R13+T13+V13+X13+Z13</f>
        <v>52</v>
      </c>
    </row>
    <row r="14" spans="1:32" x14ac:dyDescent="0.2">
      <c r="A14" s="11">
        <v>3</v>
      </c>
      <c r="B14" s="11" t="s">
        <v>183</v>
      </c>
      <c r="C14" s="115">
        <v>33.119999999999997</v>
      </c>
      <c r="D14" s="74">
        <v>31.62</v>
      </c>
      <c r="E14" s="118">
        <f>(D14*E12)/D12</f>
        <v>77.671333824613114</v>
      </c>
      <c r="F14" s="116">
        <v>3</v>
      </c>
      <c r="G14" s="74">
        <v>44.4</v>
      </c>
      <c r="H14" s="74">
        <v>42.91</v>
      </c>
      <c r="I14" s="118">
        <f>(H14*I12)/H12</f>
        <v>96.949841843651157</v>
      </c>
      <c r="J14" s="116">
        <v>5</v>
      </c>
      <c r="K14" s="119">
        <v>36.4</v>
      </c>
      <c r="L14" s="116">
        <v>30.35</v>
      </c>
      <c r="M14" s="118">
        <f>(K14*M12)/K12</f>
        <v>61.094326955354148</v>
      </c>
      <c r="N14" s="116">
        <v>1</v>
      </c>
      <c r="O14" s="118">
        <f>(L14*M12)/L12</f>
        <v>57.253348424825504</v>
      </c>
      <c r="P14" s="116">
        <v>1</v>
      </c>
      <c r="Q14" s="74">
        <v>3</v>
      </c>
      <c r="R14" s="116">
        <v>8</v>
      </c>
      <c r="S14" s="74">
        <v>20</v>
      </c>
      <c r="T14" s="116">
        <v>7</v>
      </c>
      <c r="U14" s="74">
        <v>0</v>
      </c>
      <c r="V14" s="116">
        <v>9</v>
      </c>
      <c r="W14" s="74">
        <v>10</v>
      </c>
      <c r="X14" s="116">
        <v>8</v>
      </c>
      <c r="Y14" s="74">
        <v>0</v>
      </c>
      <c r="Z14" s="116">
        <v>9</v>
      </c>
      <c r="AA14" s="74">
        <v>88</v>
      </c>
      <c r="AB14" s="74">
        <v>13.91</v>
      </c>
      <c r="AC14" s="74">
        <v>13.91</v>
      </c>
      <c r="AD14" s="117">
        <f>(8.015/100)*1000</f>
        <v>80.150000000000006</v>
      </c>
      <c r="AE14" s="117">
        <v>5.5</v>
      </c>
      <c r="AF14" s="136">
        <f>F14+J14+N14+P14+R14+T14+V14+X14+Z14</f>
        <v>51</v>
      </c>
    </row>
    <row r="15" spans="1:32" ht="15.75" customHeight="1" x14ac:dyDescent="0.2">
      <c r="A15" s="168" t="s">
        <v>120</v>
      </c>
      <c r="B15" s="169"/>
      <c r="C15" s="169"/>
      <c r="D15" s="169"/>
      <c r="E15" s="169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37"/>
    </row>
    <row r="16" spans="1:32" ht="15.75" customHeight="1" x14ac:dyDescent="0.2">
      <c r="A16" s="11">
        <v>1</v>
      </c>
      <c r="B16" s="11" t="s">
        <v>224</v>
      </c>
      <c r="C16" s="115">
        <v>25.93</v>
      </c>
      <c r="D16" s="74">
        <v>25.7</v>
      </c>
      <c r="E16" s="74">
        <v>100</v>
      </c>
      <c r="F16" s="120">
        <v>5</v>
      </c>
      <c r="G16" s="115">
        <v>34.520000000000003</v>
      </c>
      <c r="H16" s="115">
        <v>34.450000000000003</v>
      </c>
      <c r="I16" s="74">
        <v>100</v>
      </c>
      <c r="J16" s="116">
        <v>5</v>
      </c>
      <c r="K16" s="116">
        <v>46.43</v>
      </c>
      <c r="L16" s="116">
        <v>44.45</v>
      </c>
      <c r="M16" s="74">
        <v>100</v>
      </c>
      <c r="N16" s="116">
        <v>5</v>
      </c>
      <c r="O16" s="74">
        <v>100</v>
      </c>
      <c r="P16" s="116">
        <v>5</v>
      </c>
      <c r="Q16" s="74">
        <v>0</v>
      </c>
      <c r="R16" s="116">
        <v>9</v>
      </c>
      <c r="S16" s="74">
        <v>0</v>
      </c>
      <c r="T16" s="116">
        <v>9</v>
      </c>
      <c r="U16" s="74">
        <v>0</v>
      </c>
      <c r="V16" s="116">
        <v>9</v>
      </c>
      <c r="W16" s="74">
        <v>0</v>
      </c>
      <c r="X16" s="116">
        <v>9</v>
      </c>
      <c r="Y16" s="74">
        <v>18</v>
      </c>
      <c r="Z16" s="116">
        <v>7</v>
      </c>
      <c r="AA16" s="74">
        <v>92</v>
      </c>
      <c r="AB16" s="115">
        <v>13.78</v>
      </c>
      <c r="AC16" s="115">
        <v>20.91</v>
      </c>
      <c r="AD16" s="117">
        <f>(12.6/100)*1000</f>
        <v>126</v>
      </c>
      <c r="AE16" s="117">
        <v>7</v>
      </c>
      <c r="AF16" s="136">
        <f>F16+J16+N16+P16+R16+T16+V16+X16+Z16</f>
        <v>63</v>
      </c>
    </row>
    <row r="17" spans="1:32" ht="15.75" customHeight="1" x14ac:dyDescent="0.2">
      <c r="A17" s="11">
        <v>2</v>
      </c>
      <c r="B17" s="11" t="s">
        <v>182</v>
      </c>
      <c r="C17" s="115">
        <v>22.9</v>
      </c>
      <c r="D17" s="74">
        <v>21.9</v>
      </c>
      <c r="E17" s="118">
        <f>(D17*E16)/D16</f>
        <v>85.214007782101163</v>
      </c>
      <c r="F17" s="116">
        <v>3</v>
      </c>
      <c r="G17" s="115">
        <v>34.35</v>
      </c>
      <c r="H17" s="115">
        <v>33.85</v>
      </c>
      <c r="I17" s="118">
        <f>(H17*I16)/H16</f>
        <v>98.258345428156744</v>
      </c>
      <c r="J17" s="116">
        <v>5</v>
      </c>
      <c r="K17" s="116">
        <v>36.06</v>
      </c>
      <c r="L17" s="116">
        <v>35.71</v>
      </c>
      <c r="M17" s="118">
        <f>(K17*M16)/K16</f>
        <v>77.665302606073666</v>
      </c>
      <c r="N17" s="116">
        <v>3</v>
      </c>
      <c r="O17" s="118">
        <f>(L17*M16)/L16</f>
        <v>80.337457817772773</v>
      </c>
      <c r="P17" s="116">
        <v>3</v>
      </c>
      <c r="Q17" s="74">
        <v>0</v>
      </c>
      <c r="R17" s="116">
        <v>9</v>
      </c>
      <c r="S17" s="74">
        <v>0</v>
      </c>
      <c r="T17" s="116">
        <v>9</v>
      </c>
      <c r="U17" s="74">
        <v>0</v>
      </c>
      <c r="V17" s="116">
        <v>9</v>
      </c>
      <c r="W17" s="74">
        <v>3</v>
      </c>
      <c r="X17" s="116">
        <v>8</v>
      </c>
      <c r="Y17" s="74">
        <v>80</v>
      </c>
      <c r="Z17" s="116">
        <v>2</v>
      </c>
      <c r="AA17" s="74">
        <v>79</v>
      </c>
      <c r="AB17" s="115">
        <v>14.07</v>
      </c>
      <c r="AC17" s="115">
        <v>21.21</v>
      </c>
      <c r="AD17" s="117">
        <f>(7.65/100)*1000</f>
        <v>76.5</v>
      </c>
      <c r="AE17" s="74">
        <v>6.3</v>
      </c>
      <c r="AF17" s="136">
        <f>F17+J17+N17+P17+R17+T17+V17+X17+Z17</f>
        <v>51</v>
      </c>
    </row>
    <row r="18" spans="1:32" ht="15.75" customHeight="1" x14ac:dyDescent="0.2">
      <c r="A18" s="11">
        <v>3</v>
      </c>
      <c r="B18" s="11" t="s">
        <v>183</v>
      </c>
      <c r="C18" s="115">
        <v>22.55</v>
      </c>
      <c r="D18" s="74">
        <v>21.7</v>
      </c>
      <c r="E18" s="118">
        <f>(D18*E16)/D16</f>
        <v>84.435797665369648</v>
      </c>
      <c r="F18" s="12">
        <v>3</v>
      </c>
      <c r="G18" s="115">
        <v>31.6</v>
      </c>
      <c r="H18" s="115">
        <v>30.95</v>
      </c>
      <c r="I18" s="118">
        <f>(H18*I16)/H16</f>
        <v>89.840348330914367</v>
      </c>
      <c r="J18" s="116">
        <v>4</v>
      </c>
      <c r="K18" s="116">
        <v>32.04</v>
      </c>
      <c r="L18" s="116">
        <v>31.41</v>
      </c>
      <c r="M18" s="118">
        <f>(K18*M16)/K16</f>
        <v>69.007107473616202</v>
      </c>
      <c r="N18" s="116">
        <v>2</v>
      </c>
      <c r="O18" s="118">
        <f>(L18*M16)/L16</f>
        <v>70.663667041619789</v>
      </c>
      <c r="P18" s="116">
        <v>2</v>
      </c>
      <c r="Q18" s="74">
        <v>0</v>
      </c>
      <c r="R18" s="116">
        <v>9</v>
      </c>
      <c r="S18" s="74">
        <v>0</v>
      </c>
      <c r="T18" s="116">
        <v>9</v>
      </c>
      <c r="U18" s="74">
        <v>0</v>
      </c>
      <c r="V18" s="116">
        <v>9</v>
      </c>
      <c r="W18" s="74">
        <v>5</v>
      </c>
      <c r="X18" s="116">
        <v>8</v>
      </c>
      <c r="Y18" s="74">
        <v>80</v>
      </c>
      <c r="Z18" s="116">
        <v>2</v>
      </c>
      <c r="AA18" s="74">
        <v>74</v>
      </c>
      <c r="AB18" s="115">
        <v>14.89</v>
      </c>
      <c r="AC18" s="115">
        <v>22.06</v>
      </c>
      <c r="AD18" s="117">
        <f>(8.2/100)*1000</f>
        <v>81.999999999999986</v>
      </c>
      <c r="AE18" s="74">
        <v>6.7</v>
      </c>
      <c r="AF18" s="136">
        <f>F18+J18+N18+P18+R18+T18+V18+X18+Z18</f>
        <v>48</v>
      </c>
    </row>
    <row r="19" spans="1:32" ht="15.75" customHeight="1" x14ac:dyDescent="0.2">
      <c r="A19" s="168" t="s">
        <v>29</v>
      </c>
      <c r="B19" s="169"/>
      <c r="C19" s="169"/>
      <c r="D19" s="169"/>
      <c r="E19" s="169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37"/>
    </row>
    <row r="20" spans="1:32" ht="15.75" customHeight="1" x14ac:dyDescent="0.2">
      <c r="A20" s="11">
        <v>1</v>
      </c>
      <c r="B20" s="11" t="s">
        <v>224</v>
      </c>
      <c r="C20" s="115">
        <f t="shared" ref="C20:D22" si="0">(C12+C16)/2</f>
        <v>34.094999999999999</v>
      </c>
      <c r="D20" s="115">
        <f t="shared" si="0"/>
        <v>33.204999999999998</v>
      </c>
      <c r="E20" s="74">
        <v>100</v>
      </c>
      <c r="F20" s="120">
        <v>5</v>
      </c>
      <c r="G20" s="115">
        <f t="shared" ref="G20:H22" si="1">(G12+G16)/2</f>
        <v>39.700000000000003</v>
      </c>
      <c r="H20" s="115">
        <f t="shared" si="1"/>
        <v>39.355000000000004</v>
      </c>
      <c r="I20" s="74">
        <v>100</v>
      </c>
      <c r="J20" s="116">
        <v>5</v>
      </c>
      <c r="K20" s="115">
        <f t="shared" ref="K20:L22" si="2">(K12+K16)/2</f>
        <v>53.004999999999995</v>
      </c>
      <c r="L20" s="115">
        <f t="shared" si="2"/>
        <v>48.730000000000004</v>
      </c>
      <c r="M20" s="74">
        <v>100</v>
      </c>
      <c r="N20" s="116">
        <v>5</v>
      </c>
      <c r="O20" s="74">
        <v>100</v>
      </c>
      <c r="P20" s="116">
        <v>5</v>
      </c>
      <c r="Q20" s="115">
        <f>(Q12+Q16)/2</f>
        <v>1.5</v>
      </c>
      <c r="R20" s="116">
        <v>8</v>
      </c>
      <c r="S20" s="118">
        <f t="shared" ref="S20:U22" si="3">(S12+S16)/2</f>
        <v>19</v>
      </c>
      <c r="T20" s="116">
        <v>7</v>
      </c>
      <c r="U20" s="118">
        <f t="shared" si="3"/>
        <v>0</v>
      </c>
      <c r="V20" s="116">
        <v>9</v>
      </c>
      <c r="W20" s="118">
        <f t="shared" ref="W20:Y22" si="4">(W12+W16)/2</f>
        <v>5</v>
      </c>
      <c r="X20" s="116">
        <v>8</v>
      </c>
      <c r="Y20" s="118">
        <f t="shared" si="4"/>
        <v>9</v>
      </c>
      <c r="Z20" s="116">
        <v>8</v>
      </c>
      <c r="AA20" s="118">
        <f t="shared" ref="AA20:AE22" si="5">(AA12+AA16)/2</f>
        <v>90</v>
      </c>
      <c r="AB20" s="115">
        <f t="shared" si="5"/>
        <v>13.355</v>
      </c>
      <c r="AC20" s="115">
        <f>(AC12+AC16)/2</f>
        <v>19.795000000000002</v>
      </c>
      <c r="AD20" s="117">
        <f t="shared" si="5"/>
        <v>123.875</v>
      </c>
      <c r="AE20" s="115">
        <f t="shared" si="5"/>
        <v>6.5</v>
      </c>
      <c r="AF20" s="136">
        <f>F20+J20+N20+P20+R20+T20+V20+X20+Z20</f>
        <v>60</v>
      </c>
    </row>
    <row r="21" spans="1:32" ht="15.75" customHeight="1" x14ac:dyDescent="0.2">
      <c r="A21" s="11">
        <v>2</v>
      </c>
      <c r="B21" s="11" t="s">
        <v>182</v>
      </c>
      <c r="C21" s="115">
        <f t="shared" si="0"/>
        <v>27.65</v>
      </c>
      <c r="D21" s="115">
        <f t="shared" si="0"/>
        <v>26.225000000000001</v>
      </c>
      <c r="E21" s="118">
        <f>(D21*E20)/D20</f>
        <v>78.97906941725644</v>
      </c>
      <c r="F21" s="116">
        <v>3</v>
      </c>
      <c r="G21" s="115">
        <f t="shared" si="1"/>
        <v>38.769999999999996</v>
      </c>
      <c r="H21" s="115">
        <f t="shared" si="1"/>
        <v>38.010000000000005</v>
      </c>
      <c r="I21" s="118">
        <f>(H21*I20)/H20</f>
        <v>96.582391055774366</v>
      </c>
      <c r="J21" s="116">
        <v>5</v>
      </c>
      <c r="K21" s="115">
        <f t="shared" si="2"/>
        <v>39.385000000000005</v>
      </c>
      <c r="L21" s="115">
        <f t="shared" si="2"/>
        <v>36.08</v>
      </c>
      <c r="M21" s="118">
        <f>(K21*M20)/K20</f>
        <v>74.304310914064729</v>
      </c>
      <c r="N21" s="116">
        <v>2</v>
      </c>
      <c r="O21" s="118">
        <f>(L21*M20)/L20</f>
        <v>74.040632054176072</v>
      </c>
      <c r="P21" s="116">
        <v>2</v>
      </c>
      <c r="Q21" s="115">
        <f>(Q13+Q17)/2</f>
        <v>1.5</v>
      </c>
      <c r="R21" s="116">
        <v>8</v>
      </c>
      <c r="S21" s="118">
        <f>(S13+S17)/2</f>
        <v>5</v>
      </c>
      <c r="T21" s="116">
        <v>8</v>
      </c>
      <c r="U21" s="118">
        <f t="shared" si="3"/>
        <v>0</v>
      </c>
      <c r="V21" s="116">
        <v>9</v>
      </c>
      <c r="W21" s="118">
        <f>(W13+W17)/2</f>
        <v>6.5</v>
      </c>
      <c r="X21" s="116">
        <v>8</v>
      </c>
      <c r="Y21" s="118">
        <f t="shared" si="4"/>
        <v>40</v>
      </c>
      <c r="Z21" s="116">
        <v>5</v>
      </c>
      <c r="AA21" s="118">
        <f t="shared" si="5"/>
        <v>81.5</v>
      </c>
      <c r="AB21" s="115">
        <f t="shared" si="5"/>
        <v>13.865</v>
      </c>
      <c r="AC21" s="115">
        <f>(AC13+AC17)/2</f>
        <v>20.310000000000002</v>
      </c>
      <c r="AD21" s="117">
        <f t="shared" si="5"/>
        <v>79.150000000000006</v>
      </c>
      <c r="AE21" s="115">
        <f t="shared" si="5"/>
        <v>6.6</v>
      </c>
      <c r="AF21" s="136">
        <f>F21+J21+N21+P21+R21+T21+V21+X21+Z21</f>
        <v>50</v>
      </c>
    </row>
    <row r="22" spans="1:32" ht="15.75" customHeight="1" x14ac:dyDescent="0.2">
      <c r="A22" s="11">
        <v>3</v>
      </c>
      <c r="B22" s="11" t="s">
        <v>183</v>
      </c>
      <c r="C22" s="115">
        <f t="shared" si="0"/>
        <v>27.835000000000001</v>
      </c>
      <c r="D22" s="115">
        <f t="shared" si="0"/>
        <v>26.66</v>
      </c>
      <c r="E22" s="118">
        <f>(D22*E20)/D20</f>
        <v>80.289113085378716</v>
      </c>
      <c r="F22" s="12">
        <v>3</v>
      </c>
      <c r="G22" s="115">
        <f t="shared" si="1"/>
        <v>38</v>
      </c>
      <c r="H22" s="115">
        <f t="shared" si="1"/>
        <v>36.93</v>
      </c>
      <c r="I22" s="118">
        <f>(H22*I20)/H20</f>
        <v>93.838140007622911</v>
      </c>
      <c r="J22" s="116">
        <v>4</v>
      </c>
      <c r="K22" s="115">
        <f t="shared" si="2"/>
        <v>34.22</v>
      </c>
      <c r="L22" s="115">
        <f t="shared" si="2"/>
        <v>30.880000000000003</v>
      </c>
      <c r="M22" s="118">
        <f>(K22*M20)/K20</f>
        <v>64.559947174794843</v>
      </c>
      <c r="N22" s="116">
        <v>1</v>
      </c>
      <c r="O22" s="118">
        <f>(L22*M20)/L20</f>
        <v>63.369587523086402</v>
      </c>
      <c r="P22" s="116">
        <v>1</v>
      </c>
      <c r="Q22" s="115">
        <f>(Q14+Q18)/2</f>
        <v>1.5</v>
      </c>
      <c r="R22" s="116">
        <v>8</v>
      </c>
      <c r="S22" s="118">
        <f>(S14+S18)/2</f>
        <v>10</v>
      </c>
      <c r="T22" s="116">
        <v>8</v>
      </c>
      <c r="U22" s="118">
        <f t="shared" si="3"/>
        <v>0</v>
      </c>
      <c r="V22" s="116">
        <v>9</v>
      </c>
      <c r="W22" s="118">
        <f>(W14+W18)/2</f>
        <v>7.5</v>
      </c>
      <c r="X22" s="116">
        <v>8</v>
      </c>
      <c r="Y22" s="118">
        <f t="shared" si="4"/>
        <v>40</v>
      </c>
      <c r="Z22" s="116">
        <v>5</v>
      </c>
      <c r="AA22" s="118">
        <f t="shared" si="5"/>
        <v>81</v>
      </c>
      <c r="AB22" s="115">
        <f t="shared" si="5"/>
        <v>14.4</v>
      </c>
      <c r="AC22" s="115">
        <f>(AC14+AC18)/2</f>
        <v>17.984999999999999</v>
      </c>
      <c r="AD22" s="117">
        <f t="shared" si="5"/>
        <v>81.074999999999989</v>
      </c>
      <c r="AE22" s="115">
        <f t="shared" si="5"/>
        <v>6.1</v>
      </c>
      <c r="AF22" s="136">
        <f>F22+J22+N22+P22+R22+T22+V22+X22+Z22</f>
        <v>47</v>
      </c>
    </row>
    <row r="23" spans="1:32" ht="15.75" customHeight="1" x14ac:dyDescent="0.2">
      <c r="A23" s="8"/>
      <c r="B23" s="8"/>
      <c r="C23" s="7"/>
      <c r="D23" s="7"/>
      <c r="E23" s="84"/>
      <c r="F23" s="7"/>
      <c r="G23" s="84"/>
      <c r="H23" s="7"/>
      <c r="I23" s="57"/>
      <c r="J23" s="57"/>
      <c r="K23" s="57"/>
      <c r="L23" s="57"/>
      <c r="M23" s="57"/>
      <c r="N23" s="57"/>
      <c r="AE23" s="113"/>
    </row>
    <row r="24" spans="1:32" ht="15.75" customHeight="1" x14ac:dyDescent="0.2">
      <c r="A24" s="8"/>
      <c r="B24" s="8"/>
      <c r="C24" s="7"/>
      <c r="D24" s="7"/>
      <c r="E24" s="84"/>
      <c r="F24" s="7"/>
      <c r="G24" s="84"/>
      <c r="H24" s="7"/>
      <c r="I24" s="57"/>
      <c r="J24" s="57"/>
      <c r="K24" s="57"/>
      <c r="L24" s="57"/>
      <c r="M24" s="57"/>
      <c r="N24" s="57"/>
    </row>
    <row r="25" spans="1:32" x14ac:dyDescent="0.2">
      <c r="A25" s="75"/>
      <c r="B25" s="75"/>
      <c r="C25" s="6"/>
      <c r="D25" s="6"/>
      <c r="G25" s="85"/>
      <c r="I25" s="85"/>
      <c r="J25" s="85"/>
      <c r="K25" s="85"/>
      <c r="L25" s="85"/>
      <c r="M25" s="85"/>
      <c r="N25" s="85"/>
    </row>
    <row r="26" spans="1:32" x14ac:dyDescent="0.2">
      <c r="A26" s="75"/>
      <c r="B26" s="75"/>
      <c r="C26" s="6"/>
      <c r="D26" s="6"/>
      <c r="G26" s="85"/>
      <c r="I26" s="85"/>
      <c r="J26" s="85"/>
      <c r="K26" s="85"/>
      <c r="L26" s="85"/>
      <c r="M26" s="85"/>
      <c r="N26" s="85"/>
    </row>
    <row r="27" spans="1:32" x14ac:dyDescent="0.2">
      <c r="A27" s="75"/>
      <c r="B27" s="87"/>
      <c r="C27" s="6"/>
      <c r="D27" s="6"/>
      <c r="G27" s="85"/>
      <c r="I27" s="85"/>
      <c r="J27" s="85"/>
      <c r="K27" s="85"/>
      <c r="L27" s="85"/>
      <c r="M27" s="85"/>
      <c r="N27" s="85"/>
    </row>
    <row r="28" spans="1:32" x14ac:dyDescent="0.2">
      <c r="A28" s="75"/>
      <c r="B28" s="75"/>
      <c r="C28" s="6"/>
      <c r="D28" s="6"/>
      <c r="G28" s="85"/>
      <c r="I28" s="85"/>
      <c r="J28" s="85"/>
      <c r="K28" s="85"/>
      <c r="L28" s="85"/>
      <c r="M28" s="85"/>
      <c r="N28" s="85"/>
    </row>
    <row r="29" spans="1:32" x14ac:dyDescent="0.2">
      <c r="A29" s="75"/>
      <c r="B29" s="75"/>
      <c r="C29" s="6"/>
      <c r="D29" s="6"/>
      <c r="G29" s="85"/>
      <c r="I29" s="85"/>
      <c r="J29" s="85"/>
      <c r="K29" s="85"/>
      <c r="L29" s="85"/>
      <c r="M29" s="85"/>
      <c r="N29" s="85"/>
    </row>
    <row r="30" spans="1:32" x14ac:dyDescent="0.2">
      <c r="A30" s="87"/>
      <c r="B30" s="87"/>
      <c r="C30" s="6"/>
      <c r="D30" s="6"/>
      <c r="G30" s="85"/>
      <c r="I30" s="85"/>
      <c r="J30" s="85"/>
      <c r="K30" s="85"/>
      <c r="L30" s="85"/>
      <c r="M30" s="85"/>
      <c r="N30" s="85"/>
    </row>
    <row r="31" spans="1:32" x14ac:dyDescent="0.2">
      <c r="A31" s="89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</row>
    <row r="32" spans="1:32" x14ac:dyDescent="0.2">
      <c r="A32" s="90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</row>
    <row r="33" spans="1:14" x14ac:dyDescent="0.2">
      <c r="A33" s="75"/>
      <c r="B33" s="75"/>
      <c r="C33" s="6"/>
      <c r="D33" s="6"/>
      <c r="E33" s="6"/>
      <c r="F33" s="6"/>
      <c r="G33" s="85"/>
      <c r="H33" s="85"/>
      <c r="I33" s="85"/>
      <c r="J33" s="85"/>
      <c r="K33" s="85"/>
      <c r="L33" s="85"/>
      <c r="M33" s="85"/>
      <c r="N33" s="85"/>
    </row>
    <row r="34" spans="1:14" x14ac:dyDescent="0.2">
      <c r="A34" s="75"/>
      <c r="B34" s="75"/>
      <c r="C34" s="6"/>
      <c r="D34" s="6"/>
      <c r="E34" s="6"/>
      <c r="F34" s="6"/>
      <c r="G34" s="85"/>
      <c r="H34" s="85"/>
      <c r="I34" s="85"/>
      <c r="J34" s="85"/>
      <c r="K34" s="85"/>
      <c r="L34" s="85"/>
      <c r="M34" s="85"/>
      <c r="N34" s="85"/>
    </row>
    <row r="35" spans="1:14" x14ac:dyDescent="0.2">
      <c r="A35" s="75"/>
      <c r="B35" s="87"/>
      <c r="C35" s="6"/>
      <c r="D35" s="6"/>
      <c r="E35" s="6"/>
      <c r="F35" s="6"/>
      <c r="G35" s="85"/>
      <c r="H35" s="85"/>
      <c r="I35" s="85"/>
      <c r="J35" s="85"/>
      <c r="K35" s="85"/>
      <c r="L35" s="85"/>
      <c r="M35" s="85"/>
      <c r="N35" s="85"/>
    </row>
    <row r="36" spans="1:14" x14ac:dyDescent="0.2">
      <c r="A36" s="75"/>
      <c r="B36" s="75"/>
      <c r="C36" s="6"/>
      <c r="D36" s="6"/>
      <c r="E36" s="6"/>
      <c r="F36" s="6"/>
      <c r="G36" s="85"/>
      <c r="H36" s="85"/>
      <c r="I36" s="85"/>
      <c r="J36" s="85"/>
      <c r="K36" s="85"/>
      <c r="L36" s="85"/>
      <c r="M36" s="85"/>
      <c r="N36" s="85"/>
    </row>
    <row r="37" spans="1:14" x14ac:dyDescent="0.2">
      <c r="A37" s="75"/>
      <c r="B37" s="75"/>
      <c r="C37" s="6"/>
      <c r="D37" s="6"/>
      <c r="E37" s="6"/>
      <c r="F37" s="6"/>
      <c r="G37" s="85"/>
      <c r="H37" s="85"/>
      <c r="I37" s="85"/>
      <c r="J37" s="85"/>
      <c r="K37" s="85"/>
      <c r="L37" s="85"/>
      <c r="M37" s="85"/>
      <c r="N37" s="85"/>
    </row>
    <row r="38" spans="1:14" x14ac:dyDescent="0.2">
      <c r="A38" s="87"/>
      <c r="B38" s="87"/>
      <c r="C38" s="6"/>
      <c r="D38" s="6"/>
      <c r="E38" s="6"/>
      <c r="F38" s="6"/>
      <c r="G38" s="85"/>
      <c r="H38" s="85"/>
      <c r="I38" s="85"/>
      <c r="J38" s="85"/>
      <c r="K38" s="85"/>
      <c r="L38" s="85"/>
      <c r="M38" s="85"/>
      <c r="N38" s="85"/>
    </row>
    <row r="39" spans="1:14" x14ac:dyDescent="0.2">
      <c r="A39" s="91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</row>
    <row r="40" spans="1:14" x14ac:dyDescent="0.2">
      <c r="A40" s="91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</row>
    <row r="41" spans="1:14" x14ac:dyDescent="0.2">
      <c r="A41" s="92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</row>
    <row r="42" spans="1:14" x14ac:dyDescent="0.2">
      <c r="A42" s="93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</row>
    <row r="43" spans="1:14" ht="18.75" customHeight="1" x14ac:dyDescent="0.2">
      <c r="A43" s="75"/>
      <c r="B43" s="6"/>
      <c r="C43" s="75"/>
      <c r="D43" s="75"/>
      <c r="E43" s="75"/>
      <c r="F43" s="75"/>
      <c r="G43" s="85"/>
      <c r="H43" s="85"/>
      <c r="I43" s="85"/>
      <c r="J43" s="85"/>
      <c r="K43" s="85"/>
      <c r="L43" s="85"/>
      <c r="M43" s="85"/>
      <c r="N43" s="85"/>
    </row>
    <row r="44" spans="1:14" ht="18.75" customHeight="1" x14ac:dyDescent="0.2">
      <c r="A44" s="75"/>
      <c r="B44" s="6"/>
      <c r="C44" s="75"/>
      <c r="D44" s="75"/>
      <c r="E44" s="75"/>
      <c r="F44" s="75"/>
      <c r="G44" s="85"/>
      <c r="H44" s="85"/>
      <c r="I44" s="85"/>
      <c r="J44" s="85"/>
      <c r="K44" s="85"/>
      <c r="L44" s="85"/>
      <c r="M44" s="85"/>
      <c r="N44" s="85"/>
    </row>
    <row r="45" spans="1:14" ht="15.75" customHeight="1" x14ac:dyDescent="0.2">
      <c r="A45" s="75"/>
      <c r="B45" s="75"/>
      <c r="C45" s="75"/>
      <c r="D45" s="75"/>
      <c r="E45" s="75"/>
      <c r="F45" s="6"/>
      <c r="G45" s="85"/>
      <c r="H45" s="85"/>
      <c r="I45" s="85"/>
      <c r="J45" s="85"/>
      <c r="K45" s="85"/>
      <c r="L45" s="85"/>
      <c r="M45" s="85"/>
      <c r="N45" s="85"/>
    </row>
    <row r="46" spans="1:14" ht="15.75" customHeight="1" x14ac:dyDescent="0.2">
      <c r="A46" s="75"/>
      <c r="B46" s="75"/>
      <c r="C46" s="75"/>
      <c r="D46" s="75"/>
      <c r="E46" s="75"/>
      <c r="F46" s="6"/>
      <c r="G46" s="85"/>
      <c r="H46" s="85"/>
      <c r="I46" s="85"/>
      <c r="J46" s="85"/>
      <c r="K46" s="85"/>
      <c r="L46" s="85"/>
      <c r="M46" s="85"/>
      <c r="N46" s="85"/>
    </row>
    <row r="47" spans="1:14" x14ac:dyDescent="0.2">
      <c r="A47" s="75"/>
      <c r="B47" s="75"/>
      <c r="C47" s="75"/>
      <c r="D47" s="75"/>
      <c r="E47" s="75"/>
      <c r="F47" s="75"/>
      <c r="G47" s="85"/>
      <c r="H47" s="85"/>
      <c r="I47" s="85"/>
      <c r="J47" s="85"/>
      <c r="K47" s="85"/>
      <c r="L47" s="85"/>
      <c r="M47" s="85"/>
      <c r="N47" s="85"/>
    </row>
    <row r="48" spans="1:14" x14ac:dyDescent="0.2">
      <c r="A48" s="88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 x14ac:dyDescent="0.2">
      <c r="A49" s="75"/>
      <c r="B49" s="75"/>
      <c r="C49" s="6"/>
      <c r="D49" s="6"/>
      <c r="E49" s="6"/>
      <c r="F49" s="6"/>
      <c r="G49" s="85"/>
      <c r="H49" s="85"/>
      <c r="I49" s="85"/>
      <c r="J49" s="85"/>
      <c r="K49" s="85"/>
      <c r="L49" s="85"/>
      <c r="M49" s="85"/>
      <c r="N49" s="85"/>
    </row>
    <row r="50" spans="1:14" x14ac:dyDescent="0.2">
      <c r="A50" s="75"/>
      <c r="B50" s="75"/>
      <c r="C50" s="6"/>
      <c r="D50" s="6"/>
      <c r="E50" s="6"/>
      <c r="F50" s="6"/>
      <c r="G50" s="85"/>
      <c r="H50" s="85"/>
      <c r="I50" s="85"/>
      <c r="J50" s="85"/>
      <c r="K50" s="85"/>
      <c r="L50" s="85"/>
      <c r="M50" s="85"/>
      <c r="N50" s="85"/>
    </row>
    <row r="51" spans="1:14" x14ac:dyDescent="0.2">
      <c r="A51" s="75"/>
      <c r="B51" s="87"/>
      <c r="C51" s="6"/>
      <c r="D51" s="6"/>
      <c r="E51" s="6"/>
      <c r="F51" s="6"/>
      <c r="G51" s="85"/>
      <c r="H51" s="85"/>
      <c r="I51" s="85"/>
      <c r="J51" s="85"/>
      <c r="K51" s="85"/>
      <c r="L51" s="85"/>
      <c r="M51" s="85"/>
      <c r="N51" s="85"/>
    </row>
    <row r="52" spans="1:14" x14ac:dyDescent="0.2">
      <c r="A52" s="75"/>
      <c r="B52" s="75"/>
      <c r="C52" s="6"/>
      <c r="D52" s="6"/>
      <c r="E52" s="6"/>
      <c r="F52" s="6"/>
      <c r="G52" s="85"/>
      <c r="H52" s="85"/>
      <c r="I52" s="85"/>
      <c r="J52" s="85"/>
      <c r="K52" s="85"/>
      <c r="L52" s="85"/>
      <c r="M52" s="85"/>
      <c r="N52" s="85"/>
    </row>
    <row r="53" spans="1:14" x14ac:dyDescent="0.2">
      <c r="A53" s="75"/>
      <c r="B53" s="75"/>
      <c r="C53" s="6"/>
      <c r="D53" s="6"/>
      <c r="E53" s="6"/>
      <c r="F53" s="6"/>
      <c r="G53" s="85"/>
      <c r="H53" s="85"/>
      <c r="I53" s="85"/>
      <c r="J53" s="85"/>
      <c r="K53" s="85"/>
      <c r="L53" s="85"/>
      <c r="M53" s="85"/>
      <c r="N53" s="85"/>
    </row>
    <row r="54" spans="1:14" x14ac:dyDescent="0.2">
      <c r="A54" s="87"/>
      <c r="B54" s="87"/>
      <c r="C54" s="6"/>
      <c r="D54" s="6"/>
      <c r="E54" s="6"/>
      <c r="F54" s="6"/>
      <c r="G54" s="85"/>
      <c r="H54" s="85"/>
      <c r="I54" s="85"/>
      <c r="J54" s="85"/>
      <c r="K54" s="85"/>
      <c r="L54" s="85"/>
      <c r="M54" s="85"/>
      <c r="N54" s="85"/>
    </row>
    <row r="55" spans="1:14" x14ac:dyDescent="0.2">
      <c r="A55" s="88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x14ac:dyDescent="0.2">
      <c r="A56" s="75"/>
      <c r="B56" s="75"/>
      <c r="C56" s="6"/>
      <c r="D56" s="6"/>
      <c r="E56" s="6"/>
      <c r="F56" s="6"/>
      <c r="G56" s="85"/>
      <c r="H56" s="85"/>
      <c r="I56" s="85"/>
      <c r="J56" s="85"/>
      <c r="K56" s="85"/>
      <c r="L56" s="85"/>
      <c r="M56" s="85"/>
      <c r="N56" s="85"/>
    </row>
    <row r="57" spans="1:14" x14ac:dyDescent="0.2">
      <c r="A57" s="75"/>
      <c r="B57" s="75"/>
      <c r="C57" s="6"/>
      <c r="D57" s="6"/>
      <c r="E57" s="6"/>
      <c r="F57" s="6"/>
      <c r="G57" s="85"/>
      <c r="H57" s="85"/>
      <c r="I57" s="85"/>
      <c r="J57" s="85"/>
      <c r="K57" s="85"/>
      <c r="L57" s="85"/>
      <c r="M57" s="85"/>
      <c r="N57" s="85"/>
    </row>
    <row r="58" spans="1:14" x14ac:dyDescent="0.2">
      <c r="A58" s="75"/>
      <c r="B58" s="87"/>
      <c r="C58" s="6"/>
      <c r="D58" s="6"/>
      <c r="E58" s="6"/>
      <c r="F58" s="6"/>
      <c r="G58" s="85"/>
      <c r="H58" s="85"/>
      <c r="I58" s="85"/>
      <c r="J58" s="85"/>
      <c r="K58" s="85"/>
      <c r="L58" s="85"/>
      <c r="M58" s="85"/>
      <c r="N58" s="85"/>
    </row>
    <row r="59" spans="1:14" x14ac:dyDescent="0.2">
      <c r="A59" s="75"/>
      <c r="B59" s="75"/>
      <c r="C59" s="6"/>
      <c r="D59" s="6"/>
      <c r="E59" s="6"/>
      <c r="F59" s="6"/>
      <c r="G59" s="85"/>
      <c r="H59" s="85"/>
      <c r="I59" s="85"/>
      <c r="J59" s="85"/>
      <c r="K59" s="85"/>
      <c r="L59" s="85"/>
      <c r="M59" s="85"/>
      <c r="N59" s="85"/>
    </row>
    <row r="60" spans="1:14" x14ac:dyDescent="0.2">
      <c r="A60" s="75"/>
      <c r="B60" s="75"/>
      <c r="C60" s="6"/>
      <c r="D60" s="6"/>
      <c r="E60" s="6"/>
      <c r="F60" s="6"/>
      <c r="G60" s="85"/>
      <c r="H60" s="85"/>
      <c r="I60" s="85"/>
      <c r="J60" s="85"/>
      <c r="K60" s="85"/>
      <c r="L60" s="85"/>
      <c r="M60" s="85"/>
      <c r="N60" s="85"/>
    </row>
    <row r="61" spans="1:14" x14ac:dyDescent="0.2">
      <c r="A61" s="87"/>
      <c r="B61" s="87"/>
      <c r="C61" s="6"/>
      <c r="D61" s="6"/>
      <c r="E61" s="6"/>
      <c r="F61" s="6"/>
      <c r="G61" s="85"/>
      <c r="H61" s="85"/>
      <c r="I61" s="85"/>
      <c r="J61" s="85"/>
      <c r="K61" s="85"/>
      <c r="L61" s="85"/>
      <c r="M61" s="85"/>
      <c r="N61" s="85"/>
    </row>
    <row r="62" spans="1:14" x14ac:dyDescent="0.2">
      <c r="A62" s="90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</row>
    <row r="63" spans="1:14" x14ac:dyDescent="0.2">
      <c r="A63" s="75"/>
      <c r="B63" s="75"/>
      <c r="C63" s="6"/>
      <c r="D63" s="6"/>
      <c r="E63" s="6"/>
      <c r="F63" s="6"/>
      <c r="G63" s="85"/>
      <c r="H63" s="85"/>
      <c r="I63" s="85"/>
      <c r="J63" s="85"/>
      <c r="K63" s="85"/>
      <c r="L63" s="85"/>
      <c r="M63" s="85"/>
      <c r="N63" s="85"/>
    </row>
    <row r="64" spans="1:14" x14ac:dyDescent="0.2">
      <c r="A64" s="75"/>
      <c r="B64" s="75"/>
      <c r="C64" s="6"/>
      <c r="D64" s="6"/>
      <c r="E64" s="6"/>
      <c r="F64" s="6"/>
      <c r="G64" s="85"/>
      <c r="H64" s="85"/>
      <c r="I64" s="85"/>
      <c r="J64" s="85"/>
      <c r="K64" s="85"/>
      <c r="L64" s="85"/>
      <c r="M64" s="85"/>
      <c r="N64" s="85"/>
    </row>
    <row r="65" spans="1:14" x14ac:dyDescent="0.2">
      <c r="A65" s="75"/>
      <c r="B65" s="87"/>
      <c r="C65" s="6"/>
      <c r="D65" s="6"/>
      <c r="E65" s="6"/>
      <c r="F65" s="6"/>
      <c r="G65" s="85"/>
      <c r="H65" s="85"/>
      <c r="I65" s="85"/>
      <c r="J65" s="85"/>
      <c r="K65" s="85"/>
      <c r="L65" s="85"/>
      <c r="M65" s="85"/>
      <c r="N65" s="85"/>
    </row>
    <row r="66" spans="1:14" x14ac:dyDescent="0.2">
      <c r="A66" s="75"/>
      <c r="B66" s="75"/>
      <c r="C66" s="6"/>
      <c r="D66" s="6"/>
      <c r="E66" s="6"/>
      <c r="F66" s="6"/>
      <c r="G66" s="85"/>
      <c r="H66" s="85"/>
      <c r="I66" s="85"/>
      <c r="J66" s="85"/>
      <c r="K66" s="85"/>
      <c r="L66" s="85"/>
      <c r="M66" s="85"/>
      <c r="N66" s="85"/>
    </row>
    <row r="67" spans="1:14" x14ac:dyDescent="0.2">
      <c r="A67" s="75"/>
      <c r="B67" s="75"/>
      <c r="C67" s="6"/>
      <c r="D67" s="6"/>
      <c r="E67" s="6"/>
      <c r="F67" s="6"/>
      <c r="G67" s="85"/>
      <c r="H67" s="85"/>
      <c r="I67" s="85"/>
      <c r="J67" s="85"/>
      <c r="K67" s="85"/>
      <c r="L67" s="85"/>
      <c r="M67" s="85"/>
      <c r="N67" s="85"/>
    </row>
    <row r="68" spans="1:14" x14ac:dyDescent="0.2">
      <c r="A68" s="87"/>
      <c r="B68" s="87"/>
      <c r="C68" s="6"/>
      <c r="D68" s="6"/>
      <c r="E68" s="6"/>
      <c r="F68" s="6"/>
      <c r="G68" s="85"/>
      <c r="H68" s="85"/>
      <c r="I68" s="85"/>
      <c r="J68" s="85"/>
      <c r="K68" s="85"/>
      <c r="L68" s="85"/>
      <c r="M68" s="85"/>
      <c r="N68" s="85"/>
    </row>
    <row r="69" spans="1:14" x14ac:dyDescent="0.2">
      <c r="A69" s="92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</row>
    <row r="70" spans="1:14" x14ac:dyDescent="0.2">
      <c r="A70" s="93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</row>
    <row r="71" spans="1:14" ht="18.75" customHeight="1" x14ac:dyDescent="0.2">
      <c r="A71" s="75"/>
      <c r="B71" s="6"/>
      <c r="C71" s="75"/>
      <c r="D71" s="75"/>
      <c r="E71" s="75"/>
      <c r="F71" s="75"/>
      <c r="G71" s="85"/>
      <c r="H71" s="85"/>
      <c r="I71" s="85"/>
      <c r="J71" s="85"/>
      <c r="K71" s="85"/>
      <c r="L71" s="85"/>
      <c r="M71" s="85"/>
      <c r="N71" s="85"/>
    </row>
    <row r="72" spans="1:14" ht="18.75" customHeight="1" x14ac:dyDescent="0.2">
      <c r="A72" s="75"/>
      <c r="B72" s="6"/>
      <c r="C72" s="75"/>
      <c r="D72" s="75"/>
      <c r="E72" s="75"/>
      <c r="F72" s="75"/>
      <c r="G72" s="85"/>
      <c r="H72" s="85"/>
      <c r="I72" s="85"/>
      <c r="J72" s="85"/>
      <c r="K72" s="85"/>
      <c r="L72" s="85"/>
      <c r="M72" s="85"/>
      <c r="N72" s="85"/>
    </row>
    <row r="73" spans="1:14" ht="15.75" customHeight="1" x14ac:dyDescent="0.2">
      <c r="A73" s="75"/>
      <c r="B73" s="75"/>
      <c r="C73" s="75"/>
      <c r="D73" s="75"/>
      <c r="E73" s="75"/>
      <c r="F73" s="6"/>
      <c r="G73" s="85"/>
      <c r="H73" s="85"/>
      <c r="I73" s="85"/>
      <c r="J73" s="85"/>
      <c r="K73" s="85"/>
      <c r="L73" s="85"/>
      <c r="M73" s="85"/>
      <c r="N73" s="85"/>
    </row>
    <row r="74" spans="1:14" ht="15.75" customHeight="1" x14ac:dyDescent="0.2">
      <c r="A74" s="75"/>
      <c r="B74" s="75"/>
      <c r="C74" s="75"/>
      <c r="D74" s="75"/>
      <c r="E74" s="75"/>
      <c r="F74" s="6"/>
      <c r="G74" s="85"/>
      <c r="H74" s="85"/>
      <c r="I74" s="85"/>
      <c r="J74" s="85"/>
      <c r="K74" s="85"/>
      <c r="L74" s="85"/>
      <c r="M74" s="85"/>
      <c r="N74" s="85"/>
    </row>
    <row r="75" spans="1:14" x14ac:dyDescent="0.2">
      <c r="A75" s="75"/>
      <c r="B75" s="75"/>
      <c r="C75" s="75"/>
      <c r="D75" s="75"/>
      <c r="E75" s="75"/>
      <c r="F75" s="75"/>
      <c r="G75" s="85"/>
      <c r="H75" s="85"/>
      <c r="I75" s="85"/>
      <c r="J75" s="85"/>
      <c r="K75" s="85"/>
      <c r="L75" s="85"/>
      <c r="M75" s="85"/>
      <c r="N75" s="85"/>
    </row>
    <row r="76" spans="1:14" x14ac:dyDescent="0.2">
      <c r="A76" s="88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</row>
    <row r="77" spans="1:14" x14ac:dyDescent="0.2">
      <c r="A77" s="75"/>
      <c r="B77" s="75"/>
      <c r="C77" s="94"/>
      <c r="D77" s="95"/>
      <c r="E77" s="6"/>
      <c r="F77" s="6"/>
      <c r="G77" s="85"/>
      <c r="H77" s="85"/>
      <c r="I77" s="85"/>
      <c r="J77" s="85"/>
      <c r="K77" s="85"/>
      <c r="L77" s="85"/>
      <c r="M77" s="85"/>
      <c r="N77" s="85"/>
    </row>
    <row r="78" spans="1:14" x14ac:dyDescent="0.2">
      <c r="A78" s="75"/>
      <c r="B78" s="75"/>
      <c r="C78" s="94"/>
      <c r="D78" s="95"/>
      <c r="E78" s="6"/>
      <c r="F78" s="6"/>
      <c r="G78" s="85"/>
      <c r="H78" s="85"/>
      <c r="I78" s="85"/>
      <c r="J78" s="85"/>
      <c r="K78" s="85"/>
      <c r="L78" s="85"/>
      <c r="M78" s="85"/>
      <c r="N78" s="85"/>
    </row>
    <row r="79" spans="1:14" x14ac:dyDescent="0.2">
      <c r="A79" s="75"/>
      <c r="B79" s="87"/>
      <c r="C79" s="94"/>
      <c r="D79" s="95"/>
      <c r="E79" s="6"/>
      <c r="F79" s="6"/>
      <c r="G79" s="85"/>
      <c r="H79" s="85"/>
      <c r="I79" s="85"/>
      <c r="J79" s="85"/>
      <c r="K79" s="85"/>
      <c r="L79" s="85"/>
      <c r="M79" s="85"/>
      <c r="N79" s="85"/>
    </row>
    <row r="80" spans="1:14" x14ac:dyDescent="0.2">
      <c r="A80" s="75"/>
      <c r="B80" s="75"/>
      <c r="C80" s="94"/>
      <c r="D80" s="95"/>
      <c r="E80" s="6"/>
      <c r="F80" s="6"/>
      <c r="G80" s="85"/>
      <c r="H80" s="85"/>
      <c r="I80" s="85"/>
      <c r="J80" s="85"/>
      <c r="K80" s="85"/>
      <c r="L80" s="85"/>
      <c r="M80" s="85"/>
      <c r="N80" s="85"/>
    </row>
    <row r="81" spans="1:14" x14ac:dyDescent="0.2">
      <c r="A81" s="75"/>
      <c r="B81" s="75"/>
      <c r="C81" s="94"/>
      <c r="D81" s="95"/>
      <c r="E81" s="6"/>
      <c r="F81" s="6"/>
      <c r="G81" s="85"/>
      <c r="H81" s="85"/>
      <c r="I81" s="85"/>
      <c r="J81" s="85"/>
      <c r="K81" s="85"/>
      <c r="L81" s="85"/>
      <c r="M81" s="85"/>
      <c r="N81" s="85"/>
    </row>
    <row r="82" spans="1:14" x14ac:dyDescent="0.2">
      <c r="A82" s="87"/>
      <c r="B82" s="87"/>
      <c r="C82" s="94"/>
      <c r="D82" s="95"/>
      <c r="E82" s="6"/>
      <c r="F82" s="6"/>
      <c r="G82" s="85"/>
      <c r="H82" s="85"/>
      <c r="I82" s="85"/>
      <c r="J82" s="85"/>
      <c r="K82" s="85"/>
      <c r="L82" s="85"/>
      <c r="M82" s="85"/>
      <c r="N82" s="85"/>
    </row>
    <row r="83" spans="1:14" x14ac:dyDescent="0.2">
      <c r="A83" s="88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</row>
    <row r="84" spans="1:14" x14ac:dyDescent="0.2">
      <c r="A84" s="75"/>
      <c r="B84" s="75"/>
      <c r="C84" s="94"/>
      <c r="D84" s="95"/>
      <c r="E84" s="6"/>
      <c r="F84" s="94"/>
      <c r="G84" s="85"/>
      <c r="H84" s="85"/>
      <c r="I84" s="85"/>
      <c r="J84" s="85"/>
      <c r="K84" s="85"/>
      <c r="L84" s="85"/>
      <c r="M84" s="85"/>
      <c r="N84" s="85"/>
    </row>
    <row r="85" spans="1:14" x14ac:dyDescent="0.2">
      <c r="A85" s="75"/>
      <c r="B85" s="75"/>
      <c r="C85" s="94"/>
      <c r="D85" s="95"/>
      <c r="E85" s="6"/>
      <c r="F85" s="94"/>
      <c r="G85" s="85"/>
      <c r="H85" s="85"/>
      <c r="I85" s="85"/>
      <c r="J85" s="85"/>
      <c r="K85" s="85"/>
      <c r="L85" s="85"/>
      <c r="M85" s="85"/>
      <c r="N85" s="85"/>
    </row>
    <row r="86" spans="1:14" x14ac:dyDescent="0.2">
      <c r="A86" s="75"/>
      <c r="B86" s="87"/>
      <c r="C86" s="94"/>
      <c r="D86" s="95"/>
      <c r="E86" s="6"/>
      <c r="F86" s="94"/>
      <c r="G86" s="85"/>
      <c r="H86" s="85"/>
      <c r="I86" s="85"/>
      <c r="J86" s="85"/>
      <c r="K86" s="85"/>
      <c r="L86" s="85"/>
      <c r="M86" s="85"/>
      <c r="N86" s="85"/>
    </row>
    <row r="87" spans="1:14" x14ac:dyDescent="0.2">
      <c r="A87" s="75"/>
      <c r="B87" s="75"/>
      <c r="C87" s="94"/>
      <c r="D87" s="95"/>
      <c r="E87" s="6"/>
      <c r="F87" s="94"/>
      <c r="G87" s="85"/>
      <c r="H87" s="85"/>
      <c r="I87" s="85"/>
      <c r="J87" s="85"/>
      <c r="K87" s="85"/>
      <c r="L87" s="85"/>
      <c r="M87" s="85"/>
      <c r="N87" s="85"/>
    </row>
    <row r="88" spans="1:14" x14ac:dyDescent="0.2">
      <c r="A88" s="75"/>
      <c r="B88" s="75"/>
      <c r="C88" s="94"/>
      <c r="D88" s="95"/>
      <c r="E88" s="6"/>
      <c r="F88" s="94"/>
      <c r="G88" s="85"/>
      <c r="H88" s="85"/>
      <c r="I88" s="85"/>
      <c r="J88" s="85"/>
      <c r="K88" s="85"/>
      <c r="L88" s="85"/>
      <c r="M88" s="85"/>
      <c r="N88" s="85"/>
    </row>
    <row r="89" spans="1:14" x14ac:dyDescent="0.2">
      <c r="A89" s="87"/>
      <c r="B89" s="87"/>
      <c r="C89" s="94"/>
      <c r="D89" s="95"/>
      <c r="E89" s="6"/>
      <c r="F89" s="94"/>
      <c r="G89" s="85"/>
      <c r="H89" s="85"/>
      <c r="I89" s="85"/>
      <c r="J89" s="85"/>
      <c r="K89" s="85"/>
      <c r="L89" s="85"/>
      <c r="M89" s="85"/>
      <c r="N89" s="85"/>
    </row>
    <row r="90" spans="1:14" x14ac:dyDescent="0.2">
      <c r="A90" s="90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</row>
    <row r="91" spans="1:14" x14ac:dyDescent="0.2">
      <c r="A91" s="75"/>
      <c r="B91" s="75"/>
      <c r="C91" s="94"/>
      <c r="D91" s="95"/>
      <c r="E91" s="6"/>
      <c r="F91" s="94"/>
      <c r="G91" s="85"/>
      <c r="H91" s="85"/>
      <c r="I91" s="85"/>
      <c r="J91" s="85"/>
      <c r="K91" s="85"/>
      <c r="L91" s="85"/>
      <c r="M91" s="85"/>
      <c r="N91" s="85"/>
    </row>
    <row r="92" spans="1:14" x14ac:dyDescent="0.2">
      <c r="A92" s="75"/>
      <c r="B92" s="75"/>
      <c r="C92" s="94"/>
      <c r="D92" s="95"/>
      <c r="E92" s="6"/>
      <c r="F92" s="94"/>
      <c r="G92" s="85"/>
      <c r="H92" s="85"/>
      <c r="I92" s="85"/>
      <c r="J92" s="85"/>
      <c r="K92" s="85"/>
      <c r="L92" s="85"/>
      <c r="M92" s="85"/>
      <c r="N92" s="85"/>
    </row>
    <row r="93" spans="1:14" x14ac:dyDescent="0.2">
      <c r="A93" s="75"/>
      <c r="B93" s="87"/>
      <c r="C93" s="94"/>
      <c r="D93" s="95"/>
      <c r="E93" s="6"/>
      <c r="F93" s="94"/>
      <c r="G93" s="85"/>
      <c r="H93" s="85"/>
      <c r="I93" s="85"/>
      <c r="J93" s="85"/>
      <c r="K93" s="85"/>
      <c r="L93" s="85"/>
      <c r="M93" s="85"/>
      <c r="N93" s="85"/>
    </row>
    <row r="94" spans="1:14" x14ac:dyDescent="0.2">
      <c r="A94" s="75"/>
      <c r="B94" s="75"/>
      <c r="C94" s="94"/>
      <c r="D94" s="95"/>
      <c r="E94" s="6"/>
      <c r="F94" s="94"/>
      <c r="G94" s="85"/>
      <c r="H94" s="85"/>
      <c r="I94" s="85"/>
      <c r="J94" s="85"/>
      <c r="K94" s="85"/>
      <c r="L94" s="85"/>
      <c r="M94" s="85"/>
      <c r="N94" s="85"/>
    </row>
    <row r="95" spans="1:14" x14ac:dyDescent="0.2">
      <c r="A95" s="75"/>
      <c r="B95" s="75"/>
      <c r="C95" s="94"/>
      <c r="D95" s="95"/>
      <c r="E95" s="6"/>
      <c r="F95" s="94"/>
      <c r="G95" s="85"/>
      <c r="H95" s="85"/>
      <c r="I95" s="85"/>
      <c r="J95" s="85"/>
      <c r="K95" s="85"/>
      <c r="L95" s="85"/>
      <c r="M95" s="85"/>
      <c r="N95" s="85"/>
    </row>
    <row r="96" spans="1:14" x14ac:dyDescent="0.2">
      <c r="A96" s="87"/>
      <c r="B96" s="87"/>
      <c r="C96" s="94"/>
      <c r="D96" s="95"/>
      <c r="E96" s="6"/>
      <c r="F96" s="94"/>
      <c r="G96" s="85"/>
      <c r="H96" s="85"/>
      <c r="I96" s="85"/>
      <c r="J96" s="85"/>
      <c r="K96" s="85"/>
      <c r="L96" s="85"/>
      <c r="M96" s="85"/>
      <c r="N96" s="85"/>
    </row>
    <row r="97" spans="1:14" x14ac:dyDescent="0.2">
      <c r="A97" s="91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</row>
    <row r="98" spans="1:14" x14ac:dyDescent="0.2">
      <c r="A98" s="91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</row>
    <row r="99" spans="1:14" x14ac:dyDescent="0.2">
      <c r="A99" s="91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</row>
    <row r="100" spans="1:14" x14ac:dyDescent="0.2">
      <c r="A100" s="91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</row>
    <row r="101" spans="1:14" x14ac:dyDescent="0.2">
      <c r="A101" s="91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</row>
    <row r="102" spans="1:14" x14ac:dyDescent="0.2">
      <c r="A102" s="92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x14ac:dyDescent="0.2">
      <c r="A103" s="90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</row>
    <row r="104" spans="1:14" ht="31.5" customHeight="1" x14ac:dyDescent="0.2">
      <c r="A104" s="6"/>
      <c r="B104" s="6"/>
      <c r="C104" s="76"/>
      <c r="D104" s="76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  <row r="105" spans="1:14" ht="31.5" customHeight="1" x14ac:dyDescent="0.2">
      <c r="A105" s="6"/>
      <c r="B105" s="6"/>
      <c r="C105" s="6"/>
      <c r="D105" s="6"/>
      <c r="E105" s="85"/>
      <c r="F105" s="85"/>
      <c r="G105" s="85"/>
      <c r="H105" s="85"/>
      <c r="I105" s="85"/>
      <c r="J105" s="85"/>
      <c r="K105" s="85"/>
      <c r="L105" s="85"/>
      <c r="M105" s="85"/>
      <c r="N105" s="85"/>
    </row>
    <row r="106" spans="1:14" ht="15.75" customHeight="1" x14ac:dyDescent="0.2">
      <c r="A106" s="75"/>
      <c r="B106" s="75"/>
      <c r="C106" s="75"/>
      <c r="D106" s="75"/>
      <c r="E106" s="85"/>
      <c r="F106" s="85"/>
      <c r="G106" s="85"/>
      <c r="H106" s="85"/>
      <c r="I106" s="85"/>
      <c r="J106" s="85"/>
      <c r="K106" s="85"/>
      <c r="L106" s="85"/>
      <c r="M106" s="85"/>
      <c r="N106" s="85"/>
    </row>
    <row r="107" spans="1:14" ht="15" customHeight="1" x14ac:dyDescent="0.2">
      <c r="A107" s="75"/>
      <c r="B107" s="75"/>
      <c r="C107" s="75"/>
      <c r="D107" s="75"/>
      <c r="E107" s="85"/>
      <c r="F107" s="85"/>
      <c r="G107" s="85"/>
      <c r="H107" s="85"/>
      <c r="I107" s="85"/>
      <c r="J107" s="85"/>
      <c r="K107" s="85"/>
      <c r="L107" s="85"/>
      <c r="M107" s="85"/>
      <c r="N107" s="85"/>
    </row>
    <row r="108" spans="1:14" x14ac:dyDescent="0.2">
      <c r="A108" s="75"/>
      <c r="B108" s="75"/>
      <c r="C108" s="75"/>
      <c r="D108" s="75"/>
      <c r="E108" s="85"/>
      <c r="F108" s="85"/>
      <c r="G108" s="85"/>
      <c r="H108" s="85"/>
      <c r="I108" s="85"/>
      <c r="J108" s="85"/>
      <c r="K108" s="85"/>
      <c r="L108" s="85"/>
      <c r="M108" s="85"/>
      <c r="N108" s="85"/>
    </row>
    <row r="109" spans="1:14" x14ac:dyDescent="0.2">
      <c r="A109" s="88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</row>
    <row r="110" spans="1:14" x14ac:dyDescent="0.2">
      <c r="A110" s="75"/>
      <c r="B110" s="75"/>
      <c r="C110" s="6"/>
      <c r="D110" s="6"/>
      <c r="E110" s="85"/>
      <c r="F110" s="85"/>
      <c r="G110" s="85"/>
      <c r="H110" s="85"/>
      <c r="I110" s="85"/>
      <c r="J110" s="85"/>
      <c r="K110" s="85"/>
      <c r="L110" s="85"/>
      <c r="M110" s="85"/>
      <c r="N110" s="85"/>
    </row>
    <row r="111" spans="1:14" x14ac:dyDescent="0.2">
      <c r="A111" s="75"/>
      <c r="B111" s="75"/>
      <c r="C111" s="6"/>
      <c r="D111" s="6"/>
      <c r="E111" s="85"/>
      <c r="F111" s="85"/>
      <c r="G111" s="85"/>
      <c r="H111" s="85"/>
      <c r="I111" s="85"/>
      <c r="J111" s="85"/>
      <c r="K111" s="85"/>
      <c r="L111" s="85"/>
      <c r="M111" s="85"/>
      <c r="N111" s="85"/>
    </row>
    <row r="112" spans="1:14" x14ac:dyDescent="0.2">
      <c r="A112" s="75"/>
      <c r="B112" s="87"/>
      <c r="C112" s="6"/>
      <c r="D112" s="6"/>
      <c r="E112" s="85"/>
      <c r="F112" s="85"/>
      <c r="G112" s="85"/>
      <c r="H112" s="85"/>
      <c r="I112" s="85"/>
      <c r="J112" s="85"/>
      <c r="K112" s="85"/>
      <c r="L112" s="85"/>
      <c r="M112" s="85"/>
      <c r="N112" s="85"/>
    </row>
    <row r="113" spans="1:14" x14ac:dyDescent="0.2">
      <c r="A113" s="75"/>
      <c r="B113" s="75"/>
      <c r="C113" s="6"/>
      <c r="D113" s="6"/>
      <c r="E113" s="85"/>
      <c r="F113" s="85"/>
      <c r="G113" s="85"/>
      <c r="H113" s="85"/>
      <c r="I113" s="85"/>
      <c r="J113" s="85"/>
      <c r="K113" s="85"/>
      <c r="L113" s="85"/>
      <c r="M113" s="85"/>
      <c r="N113" s="85"/>
    </row>
    <row r="114" spans="1:14" x14ac:dyDescent="0.2">
      <c r="A114" s="75"/>
      <c r="B114" s="75"/>
      <c r="C114" s="6"/>
      <c r="D114" s="6"/>
      <c r="E114" s="85"/>
      <c r="F114" s="85"/>
      <c r="G114" s="85"/>
      <c r="H114" s="85"/>
      <c r="I114" s="85"/>
      <c r="J114" s="85"/>
      <c r="K114" s="85"/>
      <c r="L114" s="85"/>
      <c r="M114" s="85"/>
      <c r="N114" s="85"/>
    </row>
    <row r="115" spans="1:14" x14ac:dyDescent="0.2">
      <c r="A115" s="87"/>
      <c r="B115" s="87"/>
      <c r="C115" s="6"/>
      <c r="D115" s="6"/>
      <c r="E115" s="85"/>
      <c r="F115" s="85"/>
      <c r="G115" s="85"/>
      <c r="H115" s="85"/>
      <c r="I115" s="85"/>
      <c r="J115" s="85"/>
      <c r="K115" s="85"/>
      <c r="L115" s="85"/>
      <c r="M115" s="85"/>
      <c r="N115" s="85"/>
    </row>
    <row r="116" spans="1:14" x14ac:dyDescent="0.2">
      <c r="A116" s="88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</row>
    <row r="117" spans="1:14" x14ac:dyDescent="0.2">
      <c r="A117" s="75"/>
      <c r="B117" s="75"/>
      <c r="C117" s="6"/>
      <c r="D117" s="6"/>
      <c r="E117" s="85"/>
      <c r="F117" s="85"/>
      <c r="G117" s="85"/>
      <c r="H117" s="85"/>
      <c r="I117" s="85"/>
      <c r="J117" s="85"/>
      <c r="K117" s="85"/>
      <c r="L117" s="85"/>
      <c r="M117" s="85"/>
      <c r="N117" s="85"/>
    </row>
    <row r="118" spans="1:14" x14ac:dyDescent="0.2">
      <c r="A118" s="75"/>
      <c r="B118" s="75"/>
      <c r="C118" s="6"/>
      <c r="D118" s="6"/>
      <c r="E118" s="85"/>
      <c r="F118" s="85"/>
      <c r="G118" s="85"/>
      <c r="H118" s="85"/>
      <c r="I118" s="85"/>
      <c r="J118" s="85"/>
      <c r="K118" s="85"/>
      <c r="L118" s="85"/>
      <c r="M118" s="85"/>
      <c r="N118" s="85"/>
    </row>
    <row r="119" spans="1:14" x14ac:dyDescent="0.2">
      <c r="A119" s="75"/>
      <c r="B119" s="87"/>
      <c r="C119" s="6"/>
      <c r="D119" s="6"/>
      <c r="E119" s="85"/>
      <c r="F119" s="85"/>
      <c r="G119" s="85"/>
      <c r="H119" s="85"/>
      <c r="I119" s="85"/>
      <c r="J119" s="85"/>
      <c r="K119" s="85"/>
      <c r="L119" s="85"/>
      <c r="M119" s="85"/>
      <c r="N119" s="85"/>
    </row>
    <row r="120" spans="1:14" x14ac:dyDescent="0.2">
      <c r="A120" s="75"/>
      <c r="B120" s="75"/>
      <c r="C120" s="6"/>
      <c r="D120" s="6"/>
      <c r="E120" s="85"/>
      <c r="F120" s="85"/>
      <c r="G120" s="85"/>
      <c r="H120" s="85"/>
      <c r="I120" s="85"/>
      <c r="J120" s="85"/>
      <c r="K120" s="85"/>
      <c r="L120" s="85"/>
      <c r="M120" s="85"/>
      <c r="N120" s="85"/>
    </row>
    <row r="121" spans="1:14" x14ac:dyDescent="0.2">
      <c r="A121" s="75"/>
      <c r="B121" s="75"/>
      <c r="C121" s="6"/>
      <c r="D121" s="6"/>
      <c r="E121" s="85"/>
      <c r="F121" s="85"/>
      <c r="G121" s="85"/>
      <c r="H121" s="85"/>
      <c r="I121" s="85"/>
      <c r="J121" s="85"/>
      <c r="K121" s="85"/>
      <c r="L121" s="85"/>
      <c r="M121" s="85"/>
      <c r="N121" s="85"/>
    </row>
    <row r="122" spans="1:14" x14ac:dyDescent="0.2">
      <c r="A122" s="87"/>
      <c r="B122" s="87"/>
      <c r="C122" s="6"/>
      <c r="D122" s="6"/>
      <c r="E122" s="85"/>
      <c r="F122" s="85"/>
      <c r="G122" s="85"/>
      <c r="H122" s="85"/>
      <c r="I122" s="85"/>
      <c r="J122" s="85"/>
      <c r="K122" s="85"/>
      <c r="L122" s="85"/>
      <c r="M122" s="85"/>
      <c r="N122" s="85"/>
    </row>
    <row r="123" spans="1:14" x14ac:dyDescent="0.2">
      <c r="A123" s="90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</row>
    <row r="124" spans="1:14" x14ac:dyDescent="0.2">
      <c r="A124" s="75"/>
      <c r="B124" s="75"/>
      <c r="C124" s="6"/>
      <c r="D124" s="6"/>
      <c r="E124" s="85"/>
      <c r="F124" s="85"/>
      <c r="G124" s="85"/>
      <c r="H124" s="85"/>
      <c r="I124" s="85"/>
      <c r="J124" s="85"/>
      <c r="K124" s="85"/>
      <c r="L124" s="85"/>
      <c r="M124" s="85"/>
      <c r="N124" s="85"/>
    </row>
    <row r="125" spans="1:14" x14ac:dyDescent="0.2">
      <c r="A125" s="75"/>
      <c r="B125" s="75"/>
      <c r="C125" s="6"/>
      <c r="D125" s="6"/>
      <c r="E125" s="85"/>
      <c r="F125" s="85"/>
      <c r="G125" s="85"/>
      <c r="H125" s="85"/>
      <c r="I125" s="85"/>
      <c r="J125" s="85"/>
      <c r="K125" s="85"/>
      <c r="L125" s="85"/>
      <c r="M125" s="85"/>
      <c r="N125" s="85"/>
    </row>
    <row r="126" spans="1:14" x14ac:dyDescent="0.2">
      <c r="A126" s="75"/>
      <c r="B126" s="87"/>
      <c r="C126" s="6"/>
      <c r="D126" s="6"/>
      <c r="E126" s="85"/>
      <c r="F126" s="85"/>
      <c r="G126" s="85"/>
      <c r="H126" s="85"/>
      <c r="I126" s="85"/>
      <c r="J126" s="85"/>
      <c r="K126" s="85"/>
      <c r="L126" s="85"/>
      <c r="M126" s="85"/>
      <c r="N126" s="85"/>
    </row>
    <row r="127" spans="1:14" x14ac:dyDescent="0.2">
      <c r="A127" s="75"/>
      <c r="B127" s="75"/>
      <c r="C127" s="6"/>
      <c r="D127" s="6"/>
      <c r="E127" s="85"/>
      <c r="F127" s="85"/>
      <c r="G127" s="85"/>
      <c r="H127" s="85"/>
      <c r="I127" s="85"/>
      <c r="J127" s="85"/>
      <c r="K127" s="85"/>
      <c r="L127" s="85"/>
      <c r="M127" s="85"/>
      <c r="N127" s="85"/>
    </row>
    <row r="128" spans="1:14" x14ac:dyDescent="0.2">
      <c r="A128" s="75"/>
      <c r="B128" s="75"/>
      <c r="C128" s="6"/>
      <c r="D128" s="6"/>
      <c r="E128" s="85"/>
      <c r="F128" s="85"/>
      <c r="G128" s="85"/>
      <c r="H128" s="85"/>
      <c r="I128" s="85"/>
      <c r="J128" s="85"/>
      <c r="K128" s="85"/>
      <c r="L128" s="85"/>
      <c r="M128" s="85"/>
      <c r="N128" s="85"/>
    </row>
    <row r="129" spans="1:14" x14ac:dyDescent="0.2">
      <c r="A129" s="87"/>
      <c r="B129" s="87"/>
      <c r="C129" s="6"/>
      <c r="D129" s="6"/>
      <c r="E129" s="85"/>
      <c r="F129" s="85"/>
      <c r="G129" s="85"/>
      <c r="H129" s="85"/>
      <c r="I129" s="85"/>
      <c r="J129" s="85"/>
      <c r="K129" s="85"/>
      <c r="L129" s="85"/>
      <c r="M129" s="85"/>
      <c r="N129" s="85"/>
    </row>
    <row r="130" spans="1:14" x14ac:dyDescent="0.2">
      <c r="A130" s="89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</row>
    <row r="131" spans="1:14" x14ac:dyDescent="0.2">
      <c r="A131" s="89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</row>
    <row r="132" spans="1:14" x14ac:dyDescent="0.2">
      <c r="A132" s="89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</row>
    <row r="133" spans="1:14" x14ac:dyDescent="0.2">
      <c r="A133" s="89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</row>
    <row r="134" spans="1:14" x14ac:dyDescent="0.2">
      <c r="A134" s="89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</row>
    <row r="135" spans="1:14" x14ac:dyDescent="0.2">
      <c r="A135" s="89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</row>
    <row r="136" spans="1:14" x14ac:dyDescent="0.2">
      <c r="A136" s="89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</row>
    <row r="137" spans="1:14" x14ac:dyDescent="0.2">
      <c r="A137" s="89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</row>
    <row r="138" spans="1:14" ht="15.75" customHeight="1" x14ac:dyDescent="0.2">
      <c r="A138" s="75"/>
      <c r="B138" s="6"/>
      <c r="C138" s="96"/>
      <c r="D138" s="96"/>
      <c r="E138" s="96"/>
      <c r="F138" s="96"/>
      <c r="G138" s="96"/>
      <c r="H138" s="96"/>
      <c r="I138" s="85"/>
      <c r="J138" s="85"/>
      <c r="K138" s="85"/>
      <c r="L138" s="85"/>
      <c r="M138" s="85"/>
      <c r="N138" s="85"/>
    </row>
    <row r="139" spans="1:14" x14ac:dyDescent="0.2">
      <c r="A139" s="75"/>
      <c r="B139" s="6"/>
      <c r="C139" s="96"/>
      <c r="D139" s="96"/>
      <c r="E139" s="96"/>
      <c r="F139" s="96"/>
      <c r="G139" s="96"/>
      <c r="H139" s="96"/>
      <c r="I139" s="85"/>
      <c r="J139" s="85"/>
      <c r="K139" s="85"/>
      <c r="L139" s="85"/>
      <c r="M139" s="85"/>
      <c r="N139" s="85"/>
    </row>
    <row r="140" spans="1:14" ht="15.75" customHeight="1" x14ac:dyDescent="0.2">
      <c r="A140" s="75"/>
      <c r="B140" s="75"/>
      <c r="C140" s="76"/>
      <c r="D140" s="76"/>
      <c r="E140" s="97"/>
      <c r="F140" s="97"/>
      <c r="G140" s="97"/>
      <c r="H140" s="97"/>
      <c r="I140" s="85"/>
      <c r="J140" s="85"/>
      <c r="K140" s="85"/>
      <c r="L140" s="85"/>
      <c r="M140" s="85"/>
      <c r="N140" s="85"/>
    </row>
    <row r="141" spans="1:14" x14ac:dyDescent="0.2">
      <c r="A141" s="75"/>
      <c r="B141" s="75"/>
      <c r="C141" s="98"/>
      <c r="D141" s="98"/>
      <c r="E141" s="97"/>
      <c r="F141" s="97"/>
      <c r="G141" s="97"/>
      <c r="H141" s="97"/>
      <c r="I141" s="85"/>
      <c r="J141" s="85"/>
      <c r="K141" s="85"/>
      <c r="L141" s="85"/>
      <c r="M141" s="85"/>
      <c r="N141" s="85"/>
    </row>
    <row r="142" spans="1:14" ht="15.75" customHeight="1" x14ac:dyDescent="0.2">
      <c r="A142" s="75"/>
      <c r="B142" s="75"/>
      <c r="C142" s="75"/>
      <c r="D142" s="75"/>
      <c r="E142" s="75"/>
      <c r="F142" s="75"/>
      <c r="G142" s="75"/>
      <c r="H142" s="6"/>
      <c r="I142" s="85"/>
      <c r="J142" s="85"/>
      <c r="K142" s="85"/>
      <c r="L142" s="85"/>
      <c r="M142" s="85"/>
      <c r="N142" s="85"/>
    </row>
    <row r="143" spans="1:14" ht="15.75" customHeight="1" x14ac:dyDescent="0.2">
      <c r="A143" s="75"/>
      <c r="B143" s="75"/>
      <c r="C143" s="75"/>
      <c r="D143" s="75"/>
      <c r="E143" s="75"/>
      <c r="F143" s="75"/>
      <c r="G143" s="75"/>
      <c r="H143" s="6"/>
      <c r="I143" s="85"/>
      <c r="J143" s="85"/>
      <c r="K143" s="85"/>
      <c r="L143" s="85"/>
      <c r="M143" s="85"/>
      <c r="N143" s="85"/>
    </row>
    <row r="144" spans="1:14" x14ac:dyDescent="0.2">
      <c r="A144" s="75"/>
      <c r="B144" s="75"/>
      <c r="C144" s="75"/>
      <c r="D144" s="75"/>
      <c r="E144" s="75"/>
      <c r="F144" s="75"/>
      <c r="G144" s="75"/>
      <c r="H144" s="75"/>
      <c r="I144" s="85"/>
      <c r="J144" s="85"/>
      <c r="K144" s="85"/>
      <c r="L144" s="85"/>
      <c r="M144" s="85"/>
      <c r="N144" s="85"/>
    </row>
    <row r="145" spans="1:14" x14ac:dyDescent="0.2">
      <c r="A145" s="88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</row>
    <row r="146" spans="1:14" x14ac:dyDescent="0.2">
      <c r="A146" s="75"/>
      <c r="B146" s="75"/>
      <c r="C146" s="6"/>
      <c r="D146" s="6"/>
      <c r="E146" s="6"/>
      <c r="F146" s="6"/>
      <c r="G146" s="6"/>
      <c r="H146" s="6"/>
      <c r="I146" s="85"/>
      <c r="J146" s="85"/>
      <c r="K146" s="85"/>
      <c r="L146" s="85"/>
      <c r="M146" s="85"/>
      <c r="N146" s="85"/>
    </row>
    <row r="147" spans="1:14" x14ac:dyDescent="0.2">
      <c r="A147" s="75"/>
      <c r="B147" s="75"/>
      <c r="C147" s="6"/>
      <c r="D147" s="6"/>
      <c r="E147" s="6"/>
      <c r="F147" s="6"/>
      <c r="G147" s="6"/>
      <c r="H147" s="6"/>
      <c r="I147" s="85"/>
      <c r="J147" s="85"/>
      <c r="K147" s="85"/>
      <c r="L147" s="85"/>
      <c r="M147" s="85"/>
      <c r="N147" s="85"/>
    </row>
    <row r="148" spans="1:14" x14ac:dyDescent="0.2">
      <c r="A148" s="75"/>
      <c r="B148" s="87"/>
      <c r="C148" s="6"/>
      <c r="D148" s="6"/>
      <c r="E148" s="6"/>
      <c r="F148" s="6"/>
      <c r="G148" s="6"/>
      <c r="H148" s="6"/>
      <c r="I148" s="85"/>
      <c r="J148" s="85"/>
      <c r="K148" s="85"/>
      <c r="L148" s="85"/>
      <c r="M148" s="85"/>
      <c r="N148" s="85"/>
    </row>
    <row r="149" spans="1:14" x14ac:dyDescent="0.2">
      <c r="A149" s="75"/>
      <c r="B149" s="75"/>
      <c r="C149" s="6"/>
      <c r="D149" s="6"/>
      <c r="E149" s="6"/>
      <c r="F149" s="6"/>
      <c r="G149" s="6"/>
      <c r="H149" s="6"/>
      <c r="I149" s="85"/>
      <c r="J149" s="85"/>
      <c r="K149" s="85"/>
      <c r="L149" s="85"/>
      <c r="M149" s="85"/>
      <c r="N149" s="85"/>
    </row>
    <row r="150" spans="1:14" x14ac:dyDescent="0.2">
      <c r="A150" s="75"/>
      <c r="B150" s="75"/>
      <c r="C150" s="6"/>
      <c r="D150" s="6"/>
      <c r="E150" s="6"/>
      <c r="F150" s="6"/>
      <c r="G150" s="6"/>
      <c r="H150" s="6"/>
      <c r="I150" s="85"/>
      <c r="J150" s="85"/>
      <c r="K150" s="85"/>
      <c r="L150" s="85"/>
      <c r="M150" s="85"/>
      <c r="N150" s="85"/>
    </row>
    <row r="151" spans="1:14" x14ac:dyDescent="0.2">
      <c r="A151" s="87"/>
      <c r="B151" s="87"/>
      <c r="C151" s="6"/>
      <c r="D151" s="6"/>
      <c r="E151" s="6"/>
      <c r="F151" s="6"/>
      <c r="G151" s="6"/>
      <c r="H151" s="6"/>
      <c r="I151" s="85"/>
      <c r="J151" s="85"/>
      <c r="K151" s="85"/>
      <c r="L151" s="85"/>
      <c r="M151" s="85"/>
      <c r="N151" s="85"/>
    </row>
    <row r="152" spans="1:14" x14ac:dyDescent="0.2">
      <c r="A152" s="88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</row>
    <row r="153" spans="1:14" x14ac:dyDescent="0.2">
      <c r="A153" s="75"/>
      <c r="B153" s="75"/>
      <c r="C153" s="6"/>
      <c r="D153" s="6"/>
      <c r="E153" s="6"/>
      <c r="F153" s="6"/>
      <c r="G153" s="6"/>
      <c r="H153" s="6"/>
      <c r="I153" s="85"/>
      <c r="J153" s="85"/>
      <c r="K153" s="85"/>
      <c r="L153" s="85"/>
      <c r="M153" s="85"/>
      <c r="N153" s="85"/>
    </row>
    <row r="154" spans="1:14" x14ac:dyDescent="0.2">
      <c r="A154" s="75"/>
      <c r="B154" s="75"/>
      <c r="C154" s="6"/>
      <c r="D154" s="6"/>
      <c r="E154" s="6"/>
      <c r="F154" s="6"/>
      <c r="G154" s="6"/>
      <c r="H154" s="6"/>
      <c r="I154" s="85"/>
      <c r="J154" s="85"/>
      <c r="K154" s="85"/>
      <c r="L154" s="85"/>
      <c r="M154" s="85"/>
      <c r="N154" s="85"/>
    </row>
    <row r="155" spans="1:14" x14ac:dyDescent="0.2">
      <c r="A155" s="75"/>
      <c r="B155" s="87"/>
      <c r="C155" s="6"/>
      <c r="D155" s="6"/>
      <c r="E155" s="6"/>
      <c r="F155" s="6"/>
      <c r="G155" s="6"/>
      <c r="H155" s="6"/>
      <c r="I155" s="85"/>
      <c r="J155" s="85"/>
      <c r="K155" s="85"/>
      <c r="L155" s="85"/>
      <c r="M155" s="85"/>
      <c r="N155" s="85"/>
    </row>
    <row r="156" spans="1:14" x14ac:dyDescent="0.2">
      <c r="A156" s="75"/>
      <c r="B156" s="75"/>
      <c r="C156" s="6"/>
      <c r="D156" s="6"/>
      <c r="E156" s="6"/>
      <c r="F156" s="6"/>
      <c r="G156" s="6"/>
      <c r="H156" s="6"/>
      <c r="I156" s="85"/>
      <c r="J156" s="85"/>
      <c r="K156" s="85"/>
      <c r="L156" s="85"/>
      <c r="M156" s="85"/>
      <c r="N156" s="85"/>
    </row>
    <row r="157" spans="1:14" x14ac:dyDescent="0.2">
      <c r="A157" s="75"/>
      <c r="B157" s="75"/>
      <c r="C157" s="6"/>
      <c r="D157" s="6"/>
      <c r="E157" s="6"/>
      <c r="F157" s="6"/>
      <c r="G157" s="6"/>
      <c r="H157" s="6"/>
      <c r="I157" s="85"/>
      <c r="J157" s="85"/>
      <c r="K157" s="85"/>
      <c r="L157" s="85"/>
      <c r="M157" s="85"/>
      <c r="N157" s="85"/>
    </row>
    <row r="158" spans="1:14" x14ac:dyDescent="0.2">
      <c r="A158" s="87"/>
      <c r="B158" s="87"/>
      <c r="C158" s="6"/>
      <c r="D158" s="6"/>
      <c r="E158" s="6"/>
      <c r="F158" s="6"/>
      <c r="G158" s="6"/>
      <c r="H158" s="6"/>
      <c r="I158" s="85"/>
      <c r="J158" s="85"/>
      <c r="K158" s="85"/>
      <c r="L158" s="85"/>
      <c r="M158" s="85"/>
      <c r="N158" s="85"/>
    </row>
    <row r="159" spans="1:14" x14ac:dyDescent="0.2">
      <c r="A159" s="90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</row>
    <row r="160" spans="1:14" x14ac:dyDescent="0.2">
      <c r="A160" s="75"/>
      <c r="B160" s="75"/>
      <c r="C160" s="6"/>
      <c r="D160" s="6"/>
      <c r="E160" s="6"/>
      <c r="F160" s="6"/>
      <c r="G160" s="6"/>
      <c r="H160" s="6"/>
      <c r="I160" s="85"/>
      <c r="J160" s="85"/>
      <c r="K160" s="85"/>
      <c r="L160" s="85"/>
      <c r="M160" s="85"/>
      <c r="N160" s="85"/>
    </row>
    <row r="161" spans="1:14" x14ac:dyDescent="0.2">
      <c r="A161" s="75"/>
      <c r="B161" s="75"/>
      <c r="C161" s="6"/>
      <c r="D161" s="6"/>
      <c r="E161" s="6"/>
      <c r="F161" s="6"/>
      <c r="G161" s="6"/>
      <c r="H161" s="6"/>
      <c r="I161" s="85"/>
      <c r="J161" s="85"/>
      <c r="K161" s="85"/>
      <c r="L161" s="85"/>
      <c r="M161" s="85"/>
      <c r="N161" s="85"/>
    </row>
    <row r="162" spans="1:14" x14ac:dyDescent="0.2">
      <c r="A162" s="75"/>
      <c r="B162" s="87"/>
      <c r="C162" s="6"/>
      <c r="D162" s="6"/>
      <c r="E162" s="6"/>
      <c r="F162" s="6"/>
      <c r="G162" s="6"/>
      <c r="H162" s="6"/>
      <c r="I162" s="85"/>
      <c r="J162" s="85"/>
      <c r="K162" s="85"/>
      <c r="L162" s="85"/>
      <c r="M162" s="85"/>
      <c r="N162" s="85"/>
    </row>
    <row r="163" spans="1:14" x14ac:dyDescent="0.2">
      <c r="A163" s="75"/>
      <c r="B163" s="75"/>
      <c r="C163" s="6"/>
      <c r="D163" s="6"/>
      <c r="E163" s="6"/>
      <c r="F163" s="6"/>
      <c r="G163" s="6"/>
      <c r="H163" s="6"/>
      <c r="I163" s="85"/>
      <c r="J163" s="85"/>
      <c r="K163" s="85"/>
      <c r="L163" s="85"/>
      <c r="M163" s="85"/>
      <c r="N163" s="85"/>
    </row>
    <row r="164" spans="1:14" x14ac:dyDescent="0.2">
      <c r="A164" s="75"/>
      <c r="B164" s="75"/>
      <c r="C164" s="6"/>
      <c r="D164" s="6"/>
      <c r="E164" s="6"/>
      <c r="F164" s="6"/>
      <c r="G164" s="6"/>
      <c r="H164" s="6"/>
      <c r="I164" s="85"/>
      <c r="J164" s="85"/>
      <c r="K164" s="85"/>
      <c r="L164" s="85"/>
      <c r="M164" s="85"/>
      <c r="N164" s="85"/>
    </row>
    <row r="165" spans="1:14" x14ac:dyDescent="0.2">
      <c r="A165" s="87"/>
      <c r="B165" s="87"/>
      <c r="C165" s="6"/>
      <c r="D165" s="6"/>
      <c r="E165" s="6"/>
      <c r="F165" s="6"/>
      <c r="G165" s="6"/>
      <c r="H165" s="6"/>
      <c r="I165" s="85"/>
      <c r="J165" s="85"/>
      <c r="K165" s="85"/>
      <c r="L165" s="85"/>
      <c r="M165" s="85"/>
      <c r="N165" s="85"/>
    </row>
    <row r="166" spans="1:14" x14ac:dyDescent="0.2">
      <c r="A166" s="89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</row>
    <row r="167" spans="1:14" x14ac:dyDescent="0.2">
      <c r="A167" s="89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</row>
    <row r="168" spans="1:14" x14ac:dyDescent="0.2">
      <c r="A168" s="89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</row>
    <row r="169" spans="1:14" x14ac:dyDescent="0.2">
      <c r="A169" s="75"/>
      <c r="B169" s="6"/>
      <c r="C169" s="96"/>
      <c r="D169" s="96"/>
      <c r="E169" s="76"/>
      <c r="F169" s="85"/>
      <c r="G169" s="85"/>
      <c r="H169" s="85"/>
      <c r="I169" s="85"/>
      <c r="J169" s="85"/>
      <c r="K169" s="85"/>
      <c r="L169" s="85"/>
      <c r="M169" s="85"/>
      <c r="N169" s="85"/>
    </row>
    <row r="170" spans="1:14" x14ac:dyDescent="0.2">
      <c r="A170" s="75"/>
      <c r="B170" s="6"/>
      <c r="C170" s="96"/>
      <c r="D170" s="96"/>
      <c r="E170" s="76"/>
      <c r="F170" s="85"/>
      <c r="G170" s="85"/>
      <c r="H170" s="85"/>
      <c r="I170" s="85"/>
      <c r="J170" s="85"/>
      <c r="K170" s="85"/>
      <c r="L170" s="85"/>
      <c r="M170" s="85"/>
      <c r="N170" s="85"/>
    </row>
    <row r="171" spans="1:14" ht="15.75" customHeight="1" x14ac:dyDescent="0.2">
      <c r="A171" s="75"/>
      <c r="B171" s="75"/>
      <c r="C171" s="76"/>
      <c r="D171" s="76"/>
      <c r="E171" s="75"/>
      <c r="F171" s="85"/>
      <c r="G171" s="85"/>
      <c r="H171" s="85"/>
      <c r="I171" s="85"/>
      <c r="J171" s="85"/>
      <c r="K171" s="85"/>
      <c r="L171" s="85"/>
      <c r="M171" s="85"/>
      <c r="N171" s="85"/>
    </row>
    <row r="172" spans="1:14" x14ac:dyDescent="0.2">
      <c r="A172" s="75"/>
      <c r="B172" s="75"/>
      <c r="C172" s="98"/>
      <c r="D172" s="98"/>
      <c r="E172" s="75"/>
      <c r="F172" s="85"/>
      <c r="G172" s="85"/>
      <c r="H172" s="85"/>
      <c r="I172" s="85"/>
      <c r="J172" s="85"/>
      <c r="K172" s="85"/>
      <c r="L172" s="85"/>
      <c r="M172" s="85"/>
      <c r="N172" s="85"/>
    </row>
    <row r="173" spans="1:14" ht="15.75" customHeight="1" x14ac:dyDescent="0.2">
      <c r="A173" s="75"/>
      <c r="B173" s="75"/>
      <c r="C173" s="75"/>
      <c r="D173" s="75"/>
      <c r="E173" s="75"/>
      <c r="F173" s="85"/>
      <c r="G173" s="85"/>
      <c r="H173" s="85"/>
      <c r="I173" s="85"/>
      <c r="J173" s="85"/>
      <c r="K173" s="85"/>
      <c r="L173" s="85"/>
      <c r="M173" s="85"/>
      <c r="N173" s="85"/>
    </row>
    <row r="174" spans="1:14" ht="15.75" customHeight="1" x14ac:dyDescent="0.2">
      <c r="A174" s="75"/>
      <c r="B174" s="75"/>
      <c r="C174" s="75"/>
      <c r="D174" s="75"/>
      <c r="E174" s="75"/>
      <c r="F174" s="85"/>
      <c r="G174" s="85"/>
      <c r="H174" s="85"/>
      <c r="I174" s="85"/>
      <c r="J174" s="85"/>
      <c r="K174" s="85"/>
      <c r="L174" s="85"/>
      <c r="M174" s="85"/>
      <c r="N174" s="85"/>
    </row>
    <row r="175" spans="1:14" x14ac:dyDescent="0.2">
      <c r="A175" s="75"/>
      <c r="B175" s="75"/>
      <c r="C175" s="75"/>
      <c r="D175" s="75"/>
      <c r="E175" s="75"/>
      <c r="F175" s="85"/>
      <c r="G175" s="85"/>
      <c r="H175" s="85"/>
      <c r="I175" s="85"/>
      <c r="J175" s="85"/>
      <c r="K175" s="85"/>
      <c r="L175" s="85"/>
      <c r="M175" s="85"/>
      <c r="N175" s="85"/>
    </row>
    <row r="176" spans="1:14" x14ac:dyDescent="0.2">
      <c r="A176" s="88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</row>
    <row r="177" spans="1:14" x14ac:dyDescent="0.2">
      <c r="A177" s="75"/>
      <c r="B177" s="75"/>
      <c r="C177" s="6"/>
      <c r="D177" s="6"/>
      <c r="E177" s="76"/>
      <c r="F177" s="85"/>
      <c r="G177" s="85"/>
      <c r="H177" s="85"/>
      <c r="I177" s="85"/>
      <c r="J177" s="85"/>
      <c r="K177" s="85"/>
      <c r="L177" s="85"/>
      <c r="M177" s="85"/>
      <c r="N177" s="85"/>
    </row>
    <row r="178" spans="1:14" x14ac:dyDescent="0.2">
      <c r="A178" s="75"/>
      <c r="B178" s="75"/>
      <c r="C178" s="6"/>
      <c r="D178" s="6"/>
      <c r="E178" s="76"/>
      <c r="F178" s="85"/>
      <c r="G178" s="85"/>
      <c r="H178" s="85"/>
      <c r="I178" s="85"/>
      <c r="J178" s="85"/>
      <c r="K178" s="85"/>
      <c r="L178" s="85"/>
      <c r="M178" s="85"/>
      <c r="N178" s="85"/>
    </row>
    <row r="179" spans="1:14" x14ac:dyDescent="0.2">
      <c r="A179" s="75"/>
      <c r="B179" s="87"/>
      <c r="C179" s="6"/>
      <c r="D179" s="75"/>
      <c r="E179" s="76"/>
      <c r="F179" s="85"/>
      <c r="G179" s="85"/>
      <c r="H179" s="85"/>
      <c r="I179" s="85"/>
      <c r="J179" s="85"/>
      <c r="K179" s="85"/>
      <c r="L179" s="85"/>
      <c r="M179" s="85"/>
      <c r="N179" s="85"/>
    </row>
    <row r="180" spans="1:14" x14ac:dyDescent="0.2">
      <c r="A180" s="75"/>
      <c r="B180" s="75"/>
      <c r="C180" s="6"/>
      <c r="D180" s="6"/>
      <c r="E180" s="76"/>
      <c r="F180" s="85"/>
      <c r="G180" s="85"/>
      <c r="H180" s="85"/>
      <c r="I180" s="85"/>
      <c r="J180" s="85"/>
      <c r="K180" s="85"/>
      <c r="L180" s="85"/>
      <c r="M180" s="85"/>
      <c r="N180" s="85"/>
    </row>
    <row r="181" spans="1:14" x14ac:dyDescent="0.2">
      <c r="A181" s="75"/>
      <c r="B181" s="75"/>
      <c r="C181" s="6"/>
      <c r="D181" s="6"/>
      <c r="E181" s="76"/>
      <c r="F181" s="85"/>
      <c r="G181" s="85"/>
      <c r="H181" s="85"/>
      <c r="I181" s="85"/>
      <c r="J181" s="85"/>
      <c r="K181" s="85"/>
      <c r="L181" s="85"/>
      <c r="M181" s="85"/>
      <c r="N181" s="85"/>
    </row>
    <row r="182" spans="1:14" x14ac:dyDescent="0.2">
      <c r="A182" s="87"/>
      <c r="B182" s="87"/>
      <c r="C182" s="6"/>
      <c r="D182" s="6"/>
      <c r="E182" s="6"/>
      <c r="F182" s="85"/>
      <c r="G182" s="85"/>
      <c r="H182" s="85"/>
      <c r="I182" s="85"/>
      <c r="J182" s="85"/>
      <c r="K182" s="85"/>
      <c r="L182" s="85"/>
      <c r="M182" s="85"/>
      <c r="N182" s="85"/>
    </row>
    <row r="183" spans="1:14" x14ac:dyDescent="0.2">
      <c r="A183" s="88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</row>
    <row r="184" spans="1:14" x14ac:dyDescent="0.2">
      <c r="A184" s="75"/>
      <c r="B184" s="75"/>
      <c r="C184" s="6"/>
      <c r="D184" s="6"/>
      <c r="E184" s="76"/>
      <c r="F184" s="85"/>
      <c r="G184" s="85"/>
      <c r="H184" s="85"/>
      <c r="I184" s="85"/>
      <c r="J184" s="85"/>
      <c r="K184" s="85"/>
      <c r="L184" s="85"/>
      <c r="M184" s="85"/>
      <c r="N184" s="85"/>
    </row>
    <row r="185" spans="1:14" x14ac:dyDescent="0.2">
      <c r="A185" s="75"/>
      <c r="B185" s="75"/>
      <c r="C185" s="6"/>
      <c r="D185" s="6"/>
      <c r="E185" s="76"/>
      <c r="F185" s="85"/>
      <c r="G185" s="85"/>
      <c r="H185" s="85"/>
      <c r="I185" s="85"/>
      <c r="J185" s="85"/>
      <c r="K185" s="85"/>
      <c r="L185" s="85"/>
      <c r="M185" s="85"/>
      <c r="N185" s="85"/>
    </row>
    <row r="186" spans="1:14" x14ac:dyDescent="0.2">
      <c r="A186" s="75"/>
      <c r="B186" s="87"/>
      <c r="C186" s="6"/>
      <c r="D186" s="6"/>
      <c r="E186" s="76"/>
      <c r="F186" s="85"/>
      <c r="G186" s="85"/>
      <c r="H186" s="85"/>
      <c r="I186" s="85"/>
      <c r="J186" s="85"/>
      <c r="K186" s="85"/>
      <c r="L186" s="85"/>
      <c r="M186" s="85"/>
      <c r="N186" s="85"/>
    </row>
    <row r="187" spans="1:14" x14ac:dyDescent="0.2">
      <c r="A187" s="75"/>
      <c r="B187" s="75"/>
      <c r="C187" s="6"/>
      <c r="D187" s="6"/>
      <c r="E187" s="76"/>
      <c r="F187" s="85"/>
      <c r="G187" s="85"/>
      <c r="H187" s="85"/>
      <c r="I187" s="85"/>
      <c r="J187" s="85"/>
      <c r="K187" s="85"/>
      <c r="L187" s="85"/>
      <c r="M187" s="85"/>
      <c r="N187" s="85"/>
    </row>
    <row r="188" spans="1:14" x14ac:dyDescent="0.2">
      <c r="A188" s="75"/>
      <c r="B188" s="75"/>
      <c r="C188" s="6"/>
      <c r="D188" s="6"/>
      <c r="E188" s="76"/>
      <c r="F188" s="85"/>
      <c r="G188" s="85"/>
      <c r="H188" s="85"/>
      <c r="I188" s="85"/>
      <c r="J188" s="85"/>
      <c r="K188" s="85"/>
      <c r="L188" s="85"/>
      <c r="M188" s="85"/>
      <c r="N188" s="85"/>
    </row>
    <row r="189" spans="1:14" x14ac:dyDescent="0.2">
      <c r="A189" s="87"/>
      <c r="B189" s="87"/>
      <c r="C189" s="6"/>
      <c r="D189" s="6"/>
      <c r="E189" s="6"/>
      <c r="F189" s="85"/>
      <c r="G189" s="85"/>
      <c r="H189" s="85"/>
      <c r="I189" s="85"/>
      <c r="J189" s="85"/>
      <c r="K189" s="85"/>
      <c r="L189" s="85"/>
      <c r="M189" s="85"/>
      <c r="N189" s="85"/>
    </row>
    <row r="190" spans="1:14" x14ac:dyDescent="0.2">
      <c r="A190" s="90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</row>
    <row r="191" spans="1:14" x14ac:dyDescent="0.2">
      <c r="A191" s="75"/>
      <c r="B191" s="75"/>
      <c r="C191" s="6"/>
      <c r="D191" s="6"/>
      <c r="E191" s="76"/>
      <c r="F191" s="85"/>
      <c r="G191" s="85"/>
      <c r="H191" s="85"/>
      <c r="I191" s="85"/>
      <c r="J191" s="85"/>
      <c r="K191" s="85"/>
      <c r="L191" s="85"/>
      <c r="M191" s="85"/>
      <c r="N191" s="85"/>
    </row>
    <row r="192" spans="1:14" x14ac:dyDescent="0.2">
      <c r="A192" s="75"/>
      <c r="B192" s="75"/>
      <c r="C192" s="6"/>
      <c r="D192" s="6"/>
      <c r="E192" s="76"/>
      <c r="F192" s="85"/>
      <c r="G192" s="85"/>
      <c r="H192" s="85"/>
      <c r="I192" s="85"/>
      <c r="J192" s="85"/>
      <c r="K192" s="85"/>
      <c r="L192" s="85"/>
      <c r="M192" s="85"/>
      <c r="N192" s="85"/>
    </row>
    <row r="193" spans="1:14" x14ac:dyDescent="0.2">
      <c r="A193" s="75"/>
      <c r="B193" s="87"/>
      <c r="C193" s="6"/>
      <c r="D193" s="6"/>
      <c r="E193" s="76"/>
      <c r="F193" s="85"/>
      <c r="G193" s="85"/>
      <c r="H193" s="85"/>
      <c r="I193" s="85"/>
      <c r="J193" s="85"/>
      <c r="K193" s="85"/>
      <c r="L193" s="85"/>
      <c r="M193" s="85"/>
      <c r="N193" s="85"/>
    </row>
    <row r="194" spans="1:14" x14ac:dyDescent="0.2">
      <c r="A194" s="75"/>
      <c r="B194" s="75"/>
      <c r="C194" s="6"/>
      <c r="D194" s="6"/>
      <c r="E194" s="76"/>
      <c r="F194" s="85"/>
      <c r="G194" s="85"/>
      <c r="H194" s="85"/>
      <c r="I194" s="85"/>
      <c r="J194" s="85"/>
      <c r="K194" s="85"/>
      <c r="L194" s="85"/>
      <c r="M194" s="85"/>
      <c r="N194" s="85"/>
    </row>
    <row r="195" spans="1:14" x14ac:dyDescent="0.2">
      <c r="A195" s="75"/>
      <c r="B195" s="75"/>
      <c r="C195" s="6"/>
      <c r="D195" s="6"/>
      <c r="E195" s="76"/>
      <c r="F195" s="85"/>
      <c r="G195" s="85"/>
      <c r="H195" s="85"/>
      <c r="I195" s="85"/>
      <c r="J195" s="85"/>
      <c r="K195" s="85"/>
      <c r="L195" s="85"/>
      <c r="M195" s="85"/>
      <c r="N195" s="85"/>
    </row>
    <row r="196" spans="1:14" x14ac:dyDescent="0.2">
      <c r="A196" s="87"/>
      <c r="B196" s="87"/>
      <c r="C196" s="6"/>
      <c r="D196" s="6"/>
      <c r="E196" s="6"/>
      <c r="F196" s="85"/>
      <c r="G196" s="85"/>
      <c r="H196" s="85"/>
      <c r="I196" s="85"/>
      <c r="J196" s="85"/>
      <c r="K196" s="85"/>
      <c r="L196" s="85"/>
      <c r="M196" s="85"/>
      <c r="N196" s="85"/>
    </row>
    <row r="197" spans="1:14" x14ac:dyDescent="0.2">
      <c r="A197" s="89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</row>
    <row r="198" spans="1:14" x14ac:dyDescent="0.2">
      <c r="A198" s="92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</row>
    <row r="199" spans="1:14" x14ac:dyDescent="0.2">
      <c r="A199" s="89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</row>
    <row r="200" spans="1:14" ht="18.75" customHeight="1" x14ac:dyDescent="0.2">
      <c r="A200" s="6"/>
      <c r="B200" s="6"/>
      <c r="C200" s="75"/>
      <c r="D200" s="75"/>
      <c r="E200" s="75"/>
      <c r="F200" s="85"/>
      <c r="G200" s="85"/>
      <c r="H200" s="85"/>
      <c r="I200" s="85"/>
      <c r="J200" s="85"/>
      <c r="K200" s="85"/>
      <c r="L200" s="85"/>
      <c r="M200" s="85"/>
      <c r="N200" s="85"/>
    </row>
    <row r="201" spans="1:14" x14ac:dyDescent="0.2">
      <c r="A201" s="6"/>
      <c r="B201" s="6"/>
      <c r="C201" s="75"/>
      <c r="D201" s="75"/>
      <c r="E201" s="75"/>
      <c r="F201" s="85"/>
      <c r="G201" s="85"/>
      <c r="H201" s="85"/>
      <c r="I201" s="85"/>
      <c r="J201" s="85"/>
      <c r="K201" s="85"/>
      <c r="L201" s="85"/>
      <c r="M201" s="85"/>
      <c r="N201" s="85"/>
    </row>
    <row r="202" spans="1:14" x14ac:dyDescent="0.2">
      <c r="A202" s="75"/>
      <c r="B202" s="75"/>
      <c r="C202" s="6"/>
      <c r="D202" s="6"/>
      <c r="E202" s="6"/>
      <c r="F202" s="85"/>
      <c r="G202" s="85"/>
      <c r="H202" s="85"/>
      <c r="I202" s="85"/>
      <c r="J202" s="85"/>
      <c r="K202" s="85"/>
      <c r="L202" s="85"/>
      <c r="M202" s="85"/>
      <c r="N202" s="85"/>
    </row>
    <row r="203" spans="1:14" x14ac:dyDescent="0.2">
      <c r="A203" s="75"/>
      <c r="B203" s="75"/>
      <c r="C203" s="75"/>
      <c r="D203" s="75"/>
      <c r="E203" s="75"/>
      <c r="F203" s="85"/>
      <c r="G203" s="85"/>
      <c r="H203" s="85"/>
      <c r="I203" s="85"/>
      <c r="J203" s="85"/>
      <c r="K203" s="85"/>
      <c r="L203" s="85"/>
      <c r="M203" s="85"/>
      <c r="N203" s="85"/>
    </row>
    <row r="204" spans="1:14" x14ac:dyDescent="0.2">
      <c r="A204" s="88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</row>
    <row r="205" spans="1:14" x14ac:dyDescent="0.2">
      <c r="A205" s="75"/>
      <c r="B205" s="75"/>
      <c r="C205" s="6"/>
      <c r="D205" s="6"/>
      <c r="E205" s="6"/>
      <c r="F205" s="85"/>
      <c r="G205" s="85"/>
      <c r="H205" s="85"/>
      <c r="I205" s="85"/>
      <c r="J205" s="85"/>
      <c r="K205" s="85"/>
      <c r="L205" s="85"/>
      <c r="M205" s="85"/>
      <c r="N205" s="85"/>
    </row>
    <row r="206" spans="1:14" x14ac:dyDescent="0.2">
      <c r="A206" s="75"/>
      <c r="B206" s="75"/>
      <c r="C206" s="6"/>
      <c r="D206" s="6"/>
      <c r="E206" s="6"/>
      <c r="F206" s="85"/>
      <c r="G206" s="85"/>
      <c r="H206" s="85"/>
      <c r="I206" s="85"/>
      <c r="J206" s="85"/>
      <c r="K206" s="85"/>
      <c r="L206" s="85"/>
      <c r="M206" s="85"/>
      <c r="N206" s="85"/>
    </row>
    <row r="207" spans="1:14" x14ac:dyDescent="0.2">
      <c r="A207" s="75"/>
      <c r="B207" s="87"/>
      <c r="C207" s="6"/>
      <c r="D207" s="6"/>
      <c r="E207" s="6"/>
      <c r="F207" s="85"/>
      <c r="G207" s="85"/>
      <c r="H207" s="85"/>
      <c r="I207" s="85"/>
      <c r="J207" s="85"/>
      <c r="K207" s="85"/>
      <c r="L207" s="85"/>
      <c r="M207" s="85"/>
      <c r="N207" s="85"/>
    </row>
    <row r="208" spans="1:14" x14ac:dyDescent="0.2">
      <c r="A208" s="75"/>
      <c r="B208" s="75"/>
      <c r="C208" s="6"/>
      <c r="D208" s="6"/>
      <c r="E208" s="6"/>
      <c r="F208" s="85"/>
      <c r="G208" s="85"/>
      <c r="H208" s="85"/>
      <c r="I208" s="85"/>
      <c r="J208" s="85"/>
      <c r="K208" s="85"/>
      <c r="L208" s="85"/>
      <c r="M208" s="85"/>
      <c r="N208" s="85"/>
    </row>
    <row r="209" spans="1:14" x14ac:dyDescent="0.2">
      <c r="A209" s="75"/>
      <c r="B209" s="75"/>
      <c r="C209" s="6"/>
      <c r="D209" s="6"/>
      <c r="E209" s="6"/>
      <c r="F209" s="85"/>
      <c r="G209" s="85"/>
      <c r="H209" s="85"/>
      <c r="I209" s="85"/>
      <c r="J209" s="85"/>
      <c r="K209" s="85"/>
      <c r="L209" s="85"/>
      <c r="M209" s="85"/>
      <c r="N209" s="85"/>
    </row>
    <row r="210" spans="1:14" x14ac:dyDescent="0.2">
      <c r="A210" s="6"/>
      <c r="B210" s="87"/>
      <c r="C210" s="6"/>
      <c r="D210" s="6"/>
      <c r="E210" s="6"/>
      <c r="F210" s="85"/>
      <c r="G210" s="85"/>
      <c r="H210" s="85"/>
      <c r="I210" s="85"/>
      <c r="J210" s="85"/>
      <c r="K210" s="85"/>
      <c r="L210" s="85"/>
      <c r="M210" s="85"/>
      <c r="N210" s="85"/>
    </row>
    <row r="211" spans="1:14" x14ac:dyDescent="0.2">
      <c r="A211" s="88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</row>
    <row r="212" spans="1:14" x14ac:dyDescent="0.2">
      <c r="A212" s="75"/>
      <c r="B212" s="75"/>
      <c r="C212" s="6"/>
      <c r="D212" s="6"/>
      <c r="E212" s="6"/>
      <c r="F212" s="85"/>
      <c r="G212" s="85"/>
      <c r="H212" s="85"/>
      <c r="I212" s="85"/>
      <c r="J212" s="85"/>
      <c r="K212" s="85"/>
      <c r="L212" s="85"/>
      <c r="M212" s="85"/>
      <c r="N212" s="85"/>
    </row>
    <row r="213" spans="1:14" x14ac:dyDescent="0.2">
      <c r="A213" s="75"/>
      <c r="B213" s="75"/>
      <c r="C213" s="6"/>
      <c r="D213" s="6"/>
      <c r="E213" s="6"/>
      <c r="F213" s="85"/>
      <c r="G213" s="85"/>
      <c r="H213" s="85"/>
      <c r="I213" s="85"/>
      <c r="J213" s="85"/>
      <c r="K213" s="85"/>
      <c r="L213" s="85"/>
      <c r="M213" s="85"/>
      <c r="N213" s="85"/>
    </row>
    <row r="214" spans="1:14" x14ac:dyDescent="0.2">
      <c r="A214" s="75"/>
      <c r="B214" s="87"/>
      <c r="C214" s="6"/>
      <c r="D214" s="6"/>
      <c r="E214" s="6"/>
      <c r="F214" s="85"/>
      <c r="G214" s="85"/>
      <c r="H214" s="85"/>
      <c r="I214" s="85"/>
      <c r="J214" s="85"/>
      <c r="K214" s="85"/>
      <c r="L214" s="85"/>
      <c r="M214" s="85"/>
      <c r="N214" s="85"/>
    </row>
    <row r="215" spans="1:14" x14ac:dyDescent="0.2">
      <c r="A215" s="75"/>
      <c r="B215" s="75"/>
      <c r="C215" s="6"/>
      <c r="D215" s="6"/>
      <c r="E215" s="6"/>
      <c r="F215" s="85"/>
      <c r="G215" s="85"/>
      <c r="H215" s="85"/>
      <c r="I215" s="85"/>
      <c r="J215" s="85"/>
      <c r="K215" s="85"/>
      <c r="L215" s="85"/>
      <c r="M215" s="85"/>
      <c r="N215" s="85"/>
    </row>
    <row r="216" spans="1:14" x14ac:dyDescent="0.2">
      <c r="A216" s="75"/>
      <c r="B216" s="75"/>
      <c r="C216" s="6"/>
      <c r="D216" s="6"/>
      <c r="E216" s="6"/>
      <c r="F216" s="85"/>
      <c r="G216" s="85"/>
      <c r="H216" s="85"/>
      <c r="I216" s="85"/>
      <c r="J216" s="85"/>
      <c r="K216" s="85"/>
      <c r="L216" s="85"/>
      <c r="M216" s="85"/>
      <c r="N216" s="85"/>
    </row>
    <row r="217" spans="1:14" x14ac:dyDescent="0.2">
      <c r="A217" s="6"/>
      <c r="B217" s="87"/>
      <c r="C217" s="6"/>
      <c r="D217" s="6"/>
      <c r="E217" s="6"/>
      <c r="F217" s="85"/>
      <c r="G217" s="85"/>
      <c r="H217" s="85"/>
      <c r="I217" s="85"/>
      <c r="J217" s="85"/>
      <c r="K217" s="85"/>
      <c r="L217" s="85"/>
      <c r="M217" s="85"/>
      <c r="N217" s="85"/>
    </row>
    <row r="218" spans="1:14" x14ac:dyDescent="0.2">
      <c r="A218" s="90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</row>
    <row r="219" spans="1:14" x14ac:dyDescent="0.2">
      <c r="A219" s="75"/>
      <c r="B219" s="75"/>
      <c r="C219" s="6"/>
      <c r="D219" s="6"/>
      <c r="E219" s="6"/>
      <c r="F219" s="85"/>
      <c r="G219" s="85"/>
      <c r="H219" s="85"/>
      <c r="I219" s="85"/>
      <c r="J219" s="85"/>
      <c r="K219" s="85"/>
      <c r="L219" s="85"/>
      <c r="M219" s="85"/>
      <c r="N219" s="85"/>
    </row>
    <row r="220" spans="1:14" x14ac:dyDescent="0.2">
      <c r="A220" s="75"/>
      <c r="B220" s="75"/>
      <c r="C220" s="6"/>
      <c r="D220" s="6"/>
      <c r="E220" s="6"/>
      <c r="F220" s="85"/>
      <c r="G220" s="85"/>
      <c r="H220" s="85"/>
      <c r="I220" s="85"/>
      <c r="J220" s="85"/>
      <c r="K220" s="85"/>
      <c r="L220" s="85"/>
      <c r="M220" s="85"/>
      <c r="N220" s="85"/>
    </row>
    <row r="221" spans="1:14" x14ac:dyDescent="0.2">
      <c r="A221" s="75"/>
      <c r="B221" s="87"/>
      <c r="C221" s="6"/>
      <c r="D221" s="6"/>
      <c r="E221" s="6"/>
      <c r="F221" s="85"/>
      <c r="G221" s="85"/>
      <c r="H221" s="85"/>
      <c r="I221" s="85"/>
      <c r="J221" s="85"/>
      <c r="K221" s="85"/>
      <c r="L221" s="85"/>
      <c r="M221" s="85"/>
      <c r="N221" s="85"/>
    </row>
    <row r="222" spans="1:14" x14ac:dyDescent="0.2">
      <c r="A222" s="75"/>
      <c r="B222" s="75"/>
      <c r="C222" s="6"/>
      <c r="D222" s="6"/>
      <c r="E222" s="6"/>
      <c r="F222" s="85"/>
      <c r="G222" s="85"/>
      <c r="H222" s="85"/>
      <c r="I222" s="85"/>
      <c r="J222" s="85"/>
      <c r="K222" s="85"/>
      <c r="L222" s="85"/>
      <c r="M222" s="85"/>
      <c r="N222" s="85"/>
    </row>
    <row r="223" spans="1:14" x14ac:dyDescent="0.2">
      <c r="A223" s="75"/>
      <c r="B223" s="75"/>
      <c r="C223" s="6"/>
      <c r="D223" s="6"/>
      <c r="E223" s="6"/>
      <c r="F223" s="85"/>
      <c r="G223" s="85"/>
      <c r="H223" s="85"/>
      <c r="I223" s="85"/>
      <c r="J223" s="85"/>
      <c r="K223" s="85"/>
      <c r="L223" s="85"/>
      <c r="M223" s="85"/>
      <c r="N223" s="85"/>
    </row>
    <row r="224" spans="1:14" x14ac:dyDescent="0.2">
      <c r="A224" s="6"/>
      <c r="B224" s="87"/>
      <c r="C224" s="6"/>
      <c r="D224" s="6"/>
      <c r="E224" s="6"/>
      <c r="F224" s="85"/>
      <c r="G224" s="85"/>
      <c r="H224" s="85"/>
      <c r="I224" s="85"/>
      <c r="J224" s="85"/>
      <c r="K224" s="85"/>
      <c r="L224" s="85"/>
      <c r="M224" s="85"/>
      <c r="N224" s="85"/>
    </row>
    <row r="225" spans="1:14" x14ac:dyDescent="0.2">
      <c r="A225" s="89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</row>
    <row r="226" spans="1:14" x14ac:dyDescent="0.2">
      <c r="A226" s="89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</row>
    <row r="227" spans="1:14" ht="15.75" customHeight="1" x14ac:dyDescent="0.2">
      <c r="A227" s="6"/>
      <c r="B227" s="6"/>
      <c r="C227" s="75"/>
      <c r="D227" s="75"/>
      <c r="E227" s="75"/>
      <c r="F227" s="85"/>
      <c r="G227" s="85"/>
      <c r="H227" s="85"/>
      <c r="I227" s="85"/>
      <c r="J227" s="85"/>
      <c r="K227" s="85"/>
      <c r="L227" s="85"/>
      <c r="M227" s="85"/>
      <c r="N227" s="85"/>
    </row>
    <row r="228" spans="1:14" x14ac:dyDescent="0.2">
      <c r="A228" s="6"/>
      <c r="B228" s="6"/>
      <c r="C228" s="75"/>
      <c r="D228" s="75"/>
      <c r="E228" s="75"/>
      <c r="F228" s="85"/>
      <c r="G228" s="85"/>
      <c r="H228" s="85"/>
      <c r="I228" s="85"/>
      <c r="J228" s="85"/>
      <c r="K228" s="85"/>
      <c r="L228" s="85"/>
      <c r="M228" s="85"/>
      <c r="N228" s="85"/>
    </row>
    <row r="229" spans="1:14" x14ac:dyDescent="0.2">
      <c r="A229" s="75"/>
      <c r="B229" s="75"/>
      <c r="C229" s="6"/>
      <c r="D229" s="6"/>
      <c r="E229" s="6"/>
      <c r="F229" s="85"/>
      <c r="G229" s="85"/>
      <c r="H229" s="85"/>
      <c r="I229" s="85"/>
      <c r="J229" s="85"/>
      <c r="K229" s="85"/>
      <c r="L229" s="85"/>
      <c r="M229" s="85"/>
      <c r="N229" s="85"/>
    </row>
    <row r="230" spans="1:14" x14ac:dyDescent="0.2">
      <c r="A230" s="75"/>
      <c r="B230" s="75"/>
      <c r="C230" s="75"/>
      <c r="D230" s="75"/>
      <c r="E230" s="75"/>
      <c r="F230" s="85"/>
      <c r="G230" s="85"/>
      <c r="H230" s="85"/>
      <c r="I230" s="85"/>
      <c r="J230" s="85"/>
      <c r="K230" s="85"/>
      <c r="L230" s="85"/>
      <c r="M230" s="85"/>
      <c r="N230" s="85"/>
    </row>
    <row r="231" spans="1:14" x14ac:dyDescent="0.2">
      <c r="A231" s="88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</row>
    <row r="232" spans="1:14" x14ac:dyDescent="0.2">
      <c r="A232" s="75"/>
      <c r="B232" s="75"/>
      <c r="C232" s="6"/>
      <c r="D232" s="6"/>
      <c r="E232" s="6"/>
      <c r="F232" s="85"/>
      <c r="G232" s="85"/>
      <c r="H232" s="85"/>
      <c r="I232" s="85"/>
      <c r="J232" s="85"/>
      <c r="K232" s="85"/>
      <c r="L232" s="85"/>
      <c r="M232" s="85"/>
      <c r="N232" s="85"/>
    </row>
    <row r="233" spans="1:14" x14ac:dyDescent="0.2">
      <c r="A233" s="75"/>
      <c r="B233" s="75"/>
      <c r="C233" s="6"/>
      <c r="D233" s="6"/>
      <c r="E233" s="6"/>
      <c r="F233" s="85"/>
      <c r="G233" s="85"/>
      <c r="H233" s="85"/>
      <c r="I233" s="85"/>
      <c r="J233" s="85"/>
      <c r="K233" s="85"/>
      <c r="L233" s="85"/>
      <c r="M233" s="85"/>
      <c r="N233" s="85"/>
    </row>
    <row r="234" spans="1:14" x14ac:dyDescent="0.2">
      <c r="A234" s="75"/>
      <c r="B234" s="87"/>
      <c r="C234" s="6"/>
      <c r="D234" s="6"/>
      <c r="E234" s="6"/>
      <c r="F234" s="85"/>
      <c r="G234" s="85"/>
      <c r="H234" s="85"/>
      <c r="I234" s="85"/>
      <c r="J234" s="85"/>
      <c r="K234" s="85"/>
      <c r="L234" s="85"/>
      <c r="M234" s="85"/>
      <c r="N234" s="85"/>
    </row>
    <row r="235" spans="1:14" x14ac:dyDescent="0.2">
      <c r="A235" s="75"/>
      <c r="B235" s="75"/>
      <c r="C235" s="6"/>
      <c r="D235" s="6"/>
      <c r="E235" s="6"/>
      <c r="F235" s="85"/>
      <c r="G235" s="85"/>
      <c r="H235" s="85"/>
      <c r="I235" s="85"/>
      <c r="J235" s="85"/>
      <c r="K235" s="85"/>
      <c r="L235" s="85"/>
      <c r="M235" s="85"/>
      <c r="N235" s="85"/>
    </row>
    <row r="236" spans="1:14" x14ac:dyDescent="0.2">
      <c r="A236" s="75"/>
      <c r="B236" s="75"/>
      <c r="C236" s="6"/>
      <c r="D236" s="6"/>
      <c r="E236" s="6"/>
      <c r="F236" s="85"/>
      <c r="G236" s="85"/>
      <c r="H236" s="85"/>
      <c r="I236" s="85"/>
      <c r="J236" s="85"/>
      <c r="K236" s="85"/>
      <c r="L236" s="85"/>
      <c r="M236" s="85"/>
      <c r="N236" s="85"/>
    </row>
    <row r="237" spans="1:14" x14ac:dyDescent="0.2">
      <c r="A237" s="6"/>
      <c r="B237" s="87"/>
      <c r="C237" s="6"/>
      <c r="D237" s="6"/>
      <c r="E237" s="6"/>
      <c r="F237" s="85"/>
      <c r="G237" s="85"/>
      <c r="H237" s="85"/>
      <c r="I237" s="85"/>
      <c r="J237" s="85"/>
      <c r="K237" s="85"/>
      <c r="L237" s="85"/>
      <c r="M237" s="85"/>
      <c r="N237" s="85"/>
    </row>
    <row r="238" spans="1:14" x14ac:dyDescent="0.2">
      <c r="A238" s="88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</row>
    <row r="239" spans="1:14" x14ac:dyDescent="0.2">
      <c r="A239" s="75"/>
      <c r="B239" s="75"/>
      <c r="C239" s="6"/>
      <c r="D239" s="6"/>
      <c r="E239" s="6"/>
      <c r="F239" s="85"/>
      <c r="G239" s="85"/>
      <c r="H239" s="85"/>
      <c r="I239" s="85"/>
      <c r="J239" s="85"/>
      <c r="K239" s="85"/>
      <c r="L239" s="85"/>
      <c r="M239" s="85"/>
      <c r="N239" s="85"/>
    </row>
    <row r="240" spans="1:14" x14ac:dyDescent="0.2">
      <c r="A240" s="75"/>
      <c r="B240" s="75"/>
      <c r="C240" s="6"/>
      <c r="D240" s="6"/>
      <c r="E240" s="6"/>
      <c r="F240" s="85"/>
      <c r="G240" s="85"/>
      <c r="H240" s="85"/>
      <c r="I240" s="85"/>
      <c r="J240" s="85"/>
      <c r="K240" s="85"/>
      <c r="L240" s="85"/>
      <c r="M240" s="85"/>
      <c r="N240" s="85"/>
    </row>
    <row r="241" spans="1:14" x14ac:dyDescent="0.2">
      <c r="A241" s="75"/>
      <c r="B241" s="87"/>
      <c r="C241" s="6"/>
      <c r="D241" s="6"/>
      <c r="E241" s="6"/>
      <c r="F241" s="85"/>
      <c r="G241" s="85"/>
      <c r="H241" s="85"/>
      <c r="I241" s="85"/>
      <c r="J241" s="85"/>
      <c r="K241" s="85"/>
      <c r="L241" s="85"/>
      <c r="M241" s="85"/>
      <c r="N241" s="85"/>
    </row>
    <row r="242" spans="1:14" x14ac:dyDescent="0.2">
      <c r="A242" s="75"/>
      <c r="B242" s="75"/>
      <c r="C242" s="6"/>
      <c r="D242" s="6"/>
      <c r="E242" s="6"/>
      <c r="F242" s="85"/>
      <c r="G242" s="85"/>
      <c r="H242" s="85"/>
      <c r="I242" s="85"/>
      <c r="J242" s="85"/>
      <c r="K242" s="85"/>
      <c r="L242" s="85"/>
      <c r="M242" s="85"/>
      <c r="N242" s="85"/>
    </row>
    <row r="243" spans="1:14" x14ac:dyDescent="0.2">
      <c r="A243" s="75"/>
      <c r="B243" s="75"/>
      <c r="C243" s="6"/>
      <c r="D243" s="6"/>
      <c r="E243" s="6"/>
      <c r="F243" s="85"/>
      <c r="G243" s="85"/>
      <c r="H243" s="85"/>
      <c r="I243" s="85"/>
      <c r="J243" s="85"/>
      <c r="K243" s="85"/>
      <c r="L243" s="85"/>
      <c r="M243" s="85"/>
      <c r="N243" s="85"/>
    </row>
    <row r="244" spans="1:14" x14ac:dyDescent="0.2">
      <c r="A244" s="6"/>
      <c r="B244" s="87"/>
      <c r="C244" s="6"/>
      <c r="D244" s="6"/>
      <c r="E244" s="6"/>
      <c r="F244" s="85"/>
      <c r="G244" s="85"/>
      <c r="H244" s="85"/>
      <c r="I244" s="85"/>
      <c r="J244" s="85"/>
      <c r="K244" s="85"/>
      <c r="L244" s="85"/>
      <c r="M244" s="85"/>
      <c r="N244" s="85"/>
    </row>
    <row r="245" spans="1:14" x14ac:dyDescent="0.2">
      <c r="A245" s="90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</row>
    <row r="246" spans="1:14" x14ac:dyDescent="0.2">
      <c r="A246" s="75"/>
      <c r="B246" s="75"/>
      <c r="C246" s="6"/>
      <c r="D246" s="6"/>
      <c r="E246" s="6"/>
      <c r="F246" s="85"/>
      <c r="G246" s="85"/>
      <c r="H246" s="85"/>
      <c r="I246" s="85"/>
      <c r="J246" s="85"/>
      <c r="K246" s="85"/>
      <c r="L246" s="85"/>
      <c r="M246" s="85"/>
      <c r="N246" s="85"/>
    </row>
    <row r="247" spans="1:14" x14ac:dyDescent="0.2">
      <c r="A247" s="75"/>
      <c r="B247" s="75"/>
      <c r="C247" s="6"/>
      <c r="D247" s="6"/>
      <c r="E247" s="6"/>
      <c r="F247" s="85"/>
      <c r="G247" s="85"/>
      <c r="H247" s="85"/>
      <c r="I247" s="85"/>
      <c r="J247" s="85"/>
      <c r="K247" s="85"/>
      <c r="L247" s="85"/>
      <c r="M247" s="85"/>
      <c r="N247" s="85"/>
    </row>
    <row r="248" spans="1:14" x14ac:dyDescent="0.2">
      <c r="A248" s="75"/>
      <c r="B248" s="87"/>
      <c r="C248" s="6"/>
      <c r="D248" s="6"/>
      <c r="E248" s="6"/>
      <c r="F248" s="85"/>
      <c r="G248" s="85"/>
      <c r="H248" s="85"/>
      <c r="I248" s="85"/>
      <c r="J248" s="85"/>
      <c r="K248" s="85"/>
      <c r="L248" s="85"/>
      <c r="M248" s="85"/>
      <c r="N248" s="85"/>
    </row>
    <row r="249" spans="1:14" x14ac:dyDescent="0.2">
      <c r="A249" s="75"/>
      <c r="B249" s="75"/>
      <c r="C249" s="6"/>
      <c r="D249" s="6"/>
      <c r="E249" s="6"/>
      <c r="F249" s="85"/>
      <c r="G249" s="85"/>
      <c r="H249" s="85"/>
      <c r="I249" s="85"/>
      <c r="J249" s="85"/>
      <c r="K249" s="85"/>
      <c r="L249" s="85"/>
      <c r="M249" s="85"/>
      <c r="N249" s="85"/>
    </row>
    <row r="250" spans="1:14" x14ac:dyDescent="0.2">
      <c r="A250" s="75"/>
      <c r="B250" s="75"/>
      <c r="C250" s="6"/>
      <c r="D250" s="6"/>
      <c r="E250" s="6"/>
      <c r="F250" s="85"/>
      <c r="G250" s="85"/>
      <c r="H250" s="85"/>
      <c r="I250" s="85"/>
      <c r="J250" s="85"/>
      <c r="K250" s="85"/>
      <c r="L250" s="85"/>
      <c r="M250" s="85"/>
      <c r="N250" s="85"/>
    </row>
    <row r="251" spans="1:14" x14ac:dyDescent="0.2">
      <c r="A251" s="6"/>
      <c r="B251" s="87"/>
      <c r="C251" s="6"/>
      <c r="D251" s="6"/>
      <c r="E251" s="6"/>
      <c r="F251" s="85"/>
      <c r="G251" s="85"/>
      <c r="H251" s="85"/>
      <c r="I251" s="85"/>
      <c r="J251" s="85"/>
      <c r="K251" s="85"/>
      <c r="L251" s="85"/>
      <c r="M251" s="85"/>
      <c r="N251" s="85"/>
    </row>
    <row r="252" spans="1:14" x14ac:dyDescent="0.2">
      <c r="A252" s="89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</row>
    <row r="253" spans="1:14" x14ac:dyDescent="0.2">
      <c r="A253" s="89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</row>
    <row r="254" spans="1:14" x14ac:dyDescent="0.2">
      <c r="A254" s="92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</row>
    <row r="255" spans="1:14" x14ac:dyDescent="0.2">
      <c r="A255" s="92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</row>
    <row r="256" spans="1:14" x14ac:dyDescent="0.2">
      <c r="A256" s="92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</row>
    <row r="257" spans="1:14" x14ac:dyDescent="0.2">
      <c r="A257" s="92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</row>
    <row r="258" spans="1:14" ht="31.5" customHeight="1" x14ac:dyDescent="0.2">
      <c r="A258" s="6"/>
      <c r="B258" s="6"/>
      <c r="C258" s="76"/>
      <c r="D258" s="76"/>
      <c r="E258" s="96"/>
      <c r="F258" s="96"/>
      <c r="G258" s="96"/>
      <c r="H258" s="96"/>
      <c r="I258" s="85"/>
      <c r="J258" s="85"/>
      <c r="K258" s="85"/>
      <c r="L258" s="85"/>
      <c r="M258" s="85"/>
      <c r="N258" s="85"/>
    </row>
    <row r="259" spans="1:14" ht="15.75" customHeight="1" x14ac:dyDescent="0.2">
      <c r="A259" s="6"/>
      <c r="B259" s="6"/>
      <c r="C259" s="76"/>
      <c r="D259" s="6"/>
      <c r="E259" s="75"/>
      <c r="F259" s="75"/>
      <c r="G259" s="75"/>
      <c r="H259" s="75"/>
      <c r="I259" s="85"/>
      <c r="J259" s="85"/>
      <c r="K259" s="85"/>
      <c r="L259" s="85"/>
      <c r="M259" s="85"/>
      <c r="N259" s="85"/>
    </row>
    <row r="260" spans="1:14" ht="15.75" customHeight="1" x14ac:dyDescent="0.2">
      <c r="A260" s="6"/>
      <c r="B260" s="75"/>
      <c r="C260" s="6"/>
      <c r="D260" s="6"/>
      <c r="E260" s="75"/>
      <c r="F260" s="75"/>
      <c r="G260" s="75"/>
      <c r="H260" s="75"/>
      <c r="I260" s="85"/>
      <c r="J260" s="85"/>
      <c r="K260" s="85"/>
      <c r="L260" s="85"/>
      <c r="M260" s="85"/>
      <c r="N260" s="85"/>
    </row>
    <row r="261" spans="1:14" x14ac:dyDescent="0.2">
      <c r="A261" s="6"/>
      <c r="B261" s="75"/>
      <c r="C261" s="6"/>
      <c r="D261" s="75"/>
      <c r="E261" s="75"/>
      <c r="F261" s="75"/>
      <c r="G261" s="75"/>
      <c r="H261" s="75"/>
      <c r="I261" s="85"/>
      <c r="J261" s="85"/>
      <c r="K261" s="85"/>
      <c r="L261" s="85"/>
      <c r="M261" s="85"/>
      <c r="N261" s="85"/>
    </row>
    <row r="262" spans="1:14" ht="15.75" customHeight="1" x14ac:dyDescent="0.2">
      <c r="A262" s="75"/>
      <c r="B262" s="75"/>
      <c r="C262" s="75"/>
      <c r="D262" s="75"/>
      <c r="E262" s="75"/>
      <c r="F262" s="75"/>
      <c r="G262" s="75"/>
      <c r="H262" s="6"/>
      <c r="I262" s="85"/>
      <c r="J262" s="85"/>
      <c r="K262" s="85"/>
      <c r="L262" s="85"/>
      <c r="M262" s="85"/>
      <c r="N262" s="85"/>
    </row>
    <row r="263" spans="1:14" ht="15.75" customHeight="1" x14ac:dyDescent="0.2">
      <c r="A263" s="75"/>
      <c r="B263" s="75"/>
      <c r="C263" s="75"/>
      <c r="D263" s="75"/>
      <c r="E263" s="75"/>
      <c r="F263" s="75"/>
      <c r="G263" s="75"/>
      <c r="H263" s="6"/>
      <c r="I263" s="85"/>
      <c r="J263" s="85"/>
      <c r="K263" s="85"/>
      <c r="L263" s="85"/>
      <c r="M263" s="85"/>
      <c r="N263" s="85"/>
    </row>
    <row r="264" spans="1:14" x14ac:dyDescent="0.2">
      <c r="A264" s="75"/>
      <c r="B264" s="75"/>
      <c r="C264" s="75"/>
      <c r="D264" s="75"/>
      <c r="E264" s="75"/>
      <c r="F264" s="75"/>
      <c r="G264" s="75"/>
      <c r="H264" s="75"/>
      <c r="I264" s="85"/>
      <c r="J264" s="85"/>
      <c r="K264" s="85"/>
      <c r="L264" s="85"/>
      <c r="M264" s="85"/>
      <c r="N264" s="85"/>
    </row>
    <row r="265" spans="1:14" x14ac:dyDescent="0.2">
      <c r="A265" s="91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</row>
    <row r="266" spans="1:14" x14ac:dyDescent="0.2">
      <c r="A266" s="6"/>
      <c r="B266" s="75"/>
      <c r="C266" s="6"/>
      <c r="D266" s="6"/>
      <c r="E266" s="6"/>
      <c r="F266" s="6"/>
      <c r="G266" s="6"/>
      <c r="H266" s="6"/>
      <c r="I266" s="85"/>
      <c r="J266" s="85"/>
      <c r="K266" s="85"/>
      <c r="L266" s="85"/>
      <c r="M266" s="85"/>
      <c r="N266" s="85"/>
    </row>
    <row r="267" spans="1:14" x14ac:dyDescent="0.2">
      <c r="A267" s="6"/>
      <c r="B267" s="75"/>
      <c r="C267" s="6"/>
      <c r="D267" s="6"/>
      <c r="E267" s="6"/>
      <c r="F267" s="6"/>
      <c r="G267" s="6"/>
      <c r="H267" s="6"/>
      <c r="I267" s="85"/>
      <c r="J267" s="85"/>
      <c r="K267" s="85"/>
      <c r="L267" s="85"/>
      <c r="M267" s="85"/>
      <c r="N267" s="85"/>
    </row>
    <row r="268" spans="1:14" x14ac:dyDescent="0.2">
      <c r="A268" s="6"/>
      <c r="B268" s="87"/>
      <c r="C268" s="6"/>
      <c r="D268" s="6"/>
      <c r="E268" s="6"/>
      <c r="F268" s="6"/>
      <c r="G268" s="6"/>
      <c r="H268" s="6"/>
      <c r="I268" s="85"/>
      <c r="J268" s="85"/>
      <c r="K268" s="85"/>
      <c r="L268" s="85"/>
      <c r="M268" s="85"/>
      <c r="N268" s="85"/>
    </row>
    <row r="269" spans="1:14" x14ac:dyDescent="0.2">
      <c r="A269" s="91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</row>
    <row r="270" spans="1:14" ht="15.75" customHeight="1" x14ac:dyDescent="0.2">
      <c r="A270" s="75"/>
      <c r="B270" s="6"/>
      <c r="C270" s="96"/>
      <c r="D270" s="96"/>
      <c r="E270" s="96"/>
      <c r="F270" s="96"/>
      <c r="G270" s="96"/>
      <c r="H270" s="96"/>
      <c r="I270" s="85"/>
      <c r="J270" s="85"/>
      <c r="K270" s="85"/>
      <c r="L270" s="85"/>
      <c r="M270" s="85"/>
      <c r="N270" s="85"/>
    </row>
    <row r="271" spans="1:14" x14ac:dyDescent="0.2">
      <c r="A271" s="75"/>
      <c r="B271" s="6"/>
      <c r="C271" s="96"/>
      <c r="D271" s="96"/>
      <c r="E271" s="96"/>
      <c r="F271" s="96"/>
      <c r="G271" s="96"/>
      <c r="H271" s="96"/>
      <c r="I271" s="85"/>
      <c r="J271" s="85"/>
      <c r="K271" s="85"/>
      <c r="L271" s="85"/>
      <c r="M271" s="85"/>
      <c r="N271" s="85"/>
    </row>
    <row r="272" spans="1:14" ht="15.75" customHeight="1" x14ac:dyDescent="0.2">
      <c r="A272" s="75"/>
      <c r="B272" s="75"/>
      <c r="C272" s="76"/>
      <c r="D272" s="76"/>
      <c r="E272" s="97"/>
      <c r="F272" s="97"/>
      <c r="G272" s="97"/>
      <c r="H272" s="97"/>
      <c r="I272" s="85"/>
      <c r="J272" s="85"/>
      <c r="K272" s="85"/>
      <c r="L272" s="85"/>
      <c r="M272" s="85"/>
      <c r="N272" s="85"/>
    </row>
    <row r="273" spans="1:14" x14ac:dyDescent="0.2">
      <c r="A273" s="75"/>
      <c r="B273" s="75"/>
      <c r="C273" s="98"/>
      <c r="D273" s="98"/>
      <c r="E273" s="97"/>
      <c r="F273" s="97"/>
      <c r="G273" s="97"/>
      <c r="H273" s="97"/>
      <c r="I273" s="85"/>
      <c r="J273" s="85"/>
      <c r="K273" s="85"/>
      <c r="L273" s="85"/>
      <c r="M273" s="85"/>
      <c r="N273" s="85"/>
    </row>
    <row r="274" spans="1:14" ht="15.75" customHeight="1" x14ac:dyDescent="0.2">
      <c r="A274" s="75"/>
      <c r="B274" s="75"/>
      <c r="C274" s="75"/>
      <c r="D274" s="75"/>
      <c r="E274" s="75"/>
      <c r="F274" s="75"/>
      <c r="G274" s="75"/>
      <c r="H274" s="6"/>
      <c r="I274" s="85"/>
      <c r="J274" s="85"/>
      <c r="K274" s="85"/>
      <c r="L274" s="85"/>
      <c r="M274" s="85"/>
      <c r="N274" s="85"/>
    </row>
    <row r="275" spans="1:14" ht="15.75" customHeight="1" x14ac:dyDescent="0.2">
      <c r="A275" s="75"/>
      <c r="B275" s="75"/>
      <c r="C275" s="75"/>
      <c r="D275" s="75"/>
      <c r="E275" s="75"/>
      <c r="F275" s="75"/>
      <c r="G275" s="75"/>
      <c r="H275" s="6"/>
      <c r="I275" s="85"/>
      <c r="J275" s="85"/>
      <c r="K275" s="85"/>
      <c r="L275" s="85"/>
      <c r="M275" s="85"/>
      <c r="N275" s="85"/>
    </row>
    <row r="276" spans="1:14" x14ac:dyDescent="0.2">
      <c r="A276" s="75"/>
      <c r="B276" s="75"/>
      <c r="C276" s="75"/>
      <c r="D276" s="75"/>
      <c r="E276" s="75"/>
      <c r="F276" s="75"/>
      <c r="G276" s="75"/>
      <c r="H276" s="75"/>
      <c r="I276" s="85"/>
      <c r="J276" s="85"/>
      <c r="K276" s="85"/>
      <c r="L276" s="85"/>
      <c r="M276" s="85"/>
      <c r="N276" s="85"/>
    </row>
    <row r="277" spans="1:14" x14ac:dyDescent="0.2">
      <c r="A277" s="99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</row>
    <row r="278" spans="1:14" x14ac:dyDescent="0.2">
      <c r="A278" s="6"/>
      <c r="B278" s="75"/>
      <c r="C278" s="6"/>
      <c r="D278" s="6"/>
      <c r="E278" s="6"/>
      <c r="F278" s="6"/>
      <c r="G278" s="6"/>
      <c r="H278" s="6"/>
      <c r="I278" s="85"/>
      <c r="J278" s="85"/>
      <c r="K278" s="85"/>
      <c r="L278" s="85"/>
      <c r="M278" s="85"/>
      <c r="N278" s="85"/>
    </row>
    <row r="279" spans="1:14" x14ac:dyDescent="0.2">
      <c r="A279" s="6"/>
      <c r="B279" s="75"/>
      <c r="C279" s="6"/>
      <c r="D279" s="6"/>
      <c r="E279" s="6"/>
      <c r="F279" s="6"/>
      <c r="G279" s="6"/>
      <c r="H279" s="6"/>
      <c r="I279" s="85"/>
      <c r="J279" s="85"/>
      <c r="K279" s="85"/>
      <c r="L279" s="85"/>
      <c r="M279" s="85"/>
      <c r="N279" s="85"/>
    </row>
    <row r="280" spans="1:14" x14ac:dyDescent="0.2">
      <c r="A280" s="6"/>
      <c r="B280" s="87"/>
      <c r="C280" s="6"/>
      <c r="D280" s="6"/>
      <c r="E280" s="6"/>
      <c r="F280" s="6"/>
      <c r="G280" s="6"/>
      <c r="H280" s="6"/>
      <c r="I280" s="85"/>
      <c r="J280" s="85"/>
      <c r="K280" s="85"/>
      <c r="L280" s="85"/>
      <c r="M280" s="85"/>
      <c r="N280" s="85"/>
    </row>
    <row r="281" spans="1:14" x14ac:dyDescent="0.2">
      <c r="A281" s="99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</row>
    <row r="282" spans="1:14" x14ac:dyDescent="0.2">
      <c r="A282" s="75"/>
      <c r="B282" s="6"/>
      <c r="C282" s="96"/>
      <c r="D282" s="96"/>
      <c r="E282" s="76"/>
      <c r="F282" s="85"/>
      <c r="G282" s="85"/>
      <c r="H282" s="85"/>
      <c r="I282" s="85"/>
      <c r="J282" s="85"/>
      <c r="K282" s="85"/>
      <c r="L282" s="85"/>
      <c r="M282" s="85"/>
      <c r="N282" s="85"/>
    </row>
    <row r="283" spans="1:14" x14ac:dyDescent="0.2">
      <c r="A283" s="75"/>
      <c r="B283" s="6"/>
      <c r="C283" s="96"/>
      <c r="D283" s="96"/>
      <c r="E283" s="76"/>
      <c r="F283" s="85"/>
      <c r="G283" s="85"/>
      <c r="H283" s="85"/>
      <c r="I283" s="85"/>
      <c r="J283" s="85"/>
      <c r="K283" s="85"/>
      <c r="L283" s="85"/>
      <c r="M283" s="85"/>
      <c r="N283" s="85"/>
    </row>
    <row r="284" spans="1:14" ht="15.75" customHeight="1" x14ac:dyDescent="0.2">
      <c r="A284" s="75"/>
      <c r="B284" s="75"/>
      <c r="C284" s="76"/>
      <c r="D284" s="76"/>
      <c r="E284" s="75"/>
      <c r="F284" s="85"/>
      <c r="G284" s="85"/>
      <c r="H284" s="85"/>
      <c r="I284" s="85"/>
      <c r="J284" s="85"/>
      <c r="K284" s="85"/>
      <c r="L284" s="85"/>
      <c r="M284" s="85"/>
      <c r="N284" s="85"/>
    </row>
    <row r="285" spans="1:14" x14ac:dyDescent="0.2">
      <c r="A285" s="75"/>
      <c r="B285" s="75"/>
      <c r="C285" s="98"/>
      <c r="D285" s="98"/>
      <c r="E285" s="75"/>
      <c r="F285" s="85"/>
      <c r="G285" s="85"/>
      <c r="H285" s="85"/>
      <c r="I285" s="85"/>
      <c r="J285" s="85"/>
      <c r="K285" s="85"/>
      <c r="L285" s="85"/>
      <c r="M285" s="85"/>
      <c r="N285" s="85"/>
    </row>
    <row r="286" spans="1:14" ht="15.75" customHeight="1" x14ac:dyDescent="0.2">
      <c r="A286" s="75"/>
      <c r="B286" s="75"/>
      <c r="C286" s="75"/>
      <c r="D286" s="75"/>
      <c r="E286" s="75"/>
      <c r="F286" s="85"/>
      <c r="G286" s="85"/>
      <c r="H286" s="85"/>
      <c r="I286" s="85"/>
      <c r="J286" s="85"/>
      <c r="K286" s="85"/>
      <c r="L286" s="85"/>
      <c r="M286" s="85"/>
      <c r="N286" s="85"/>
    </row>
    <row r="287" spans="1:14" ht="15.75" customHeight="1" x14ac:dyDescent="0.2">
      <c r="A287" s="75"/>
      <c r="B287" s="75"/>
      <c r="C287" s="75"/>
      <c r="D287" s="75"/>
      <c r="E287" s="75"/>
      <c r="F287" s="85"/>
      <c r="G287" s="85"/>
      <c r="H287" s="85"/>
      <c r="I287" s="85"/>
      <c r="J287" s="85"/>
      <c r="K287" s="85"/>
      <c r="L287" s="85"/>
      <c r="M287" s="85"/>
      <c r="N287" s="85"/>
    </row>
    <row r="288" spans="1:14" x14ac:dyDescent="0.2">
      <c r="A288" s="75"/>
      <c r="B288" s="75"/>
      <c r="C288" s="75"/>
      <c r="D288" s="75"/>
      <c r="E288" s="75"/>
      <c r="F288" s="85"/>
      <c r="G288" s="85"/>
      <c r="H288" s="85"/>
      <c r="I288" s="85"/>
      <c r="J288" s="85"/>
      <c r="K288" s="85"/>
      <c r="L288" s="85"/>
      <c r="M288" s="85"/>
      <c r="N288" s="85"/>
    </row>
    <row r="289" spans="1:14" x14ac:dyDescent="0.2">
      <c r="A289" s="99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</row>
    <row r="290" spans="1:14" x14ac:dyDescent="0.2">
      <c r="A290" s="75"/>
      <c r="B290" s="75"/>
      <c r="C290" s="6"/>
      <c r="D290" s="6"/>
      <c r="E290" s="76"/>
      <c r="F290" s="85"/>
      <c r="G290" s="85"/>
      <c r="H290" s="85"/>
      <c r="I290" s="85"/>
      <c r="J290" s="85"/>
      <c r="K290" s="85"/>
      <c r="L290" s="85"/>
      <c r="M290" s="85"/>
      <c r="N290" s="85"/>
    </row>
    <row r="291" spans="1:14" x14ac:dyDescent="0.2">
      <c r="A291" s="75"/>
      <c r="B291" s="75"/>
      <c r="C291" s="6"/>
      <c r="D291" s="6"/>
      <c r="E291" s="76"/>
      <c r="F291" s="85"/>
      <c r="G291" s="85"/>
      <c r="H291" s="85"/>
      <c r="I291" s="85"/>
      <c r="J291" s="85"/>
      <c r="K291" s="85"/>
      <c r="L291" s="85"/>
      <c r="M291" s="85"/>
      <c r="N291" s="85"/>
    </row>
    <row r="292" spans="1:14" x14ac:dyDescent="0.2">
      <c r="A292" s="75"/>
      <c r="B292" s="87"/>
      <c r="C292" s="6"/>
      <c r="D292" s="6"/>
      <c r="E292" s="100"/>
      <c r="F292" s="85"/>
      <c r="G292" s="85"/>
      <c r="H292" s="85"/>
      <c r="I292" s="85"/>
      <c r="J292" s="85"/>
      <c r="K292" s="85"/>
      <c r="L292" s="85"/>
      <c r="M292" s="85"/>
      <c r="N292" s="85"/>
    </row>
    <row r="293" spans="1:14" x14ac:dyDescent="0.2">
      <c r="A293" s="101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</row>
    <row r="294" spans="1:14" x14ac:dyDescent="0.2">
      <c r="A294" s="101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</row>
    <row r="295" spans="1:14" ht="18.75" customHeight="1" x14ac:dyDescent="0.2">
      <c r="A295" s="6"/>
      <c r="B295" s="6"/>
      <c r="C295" s="75"/>
      <c r="D295" s="75"/>
      <c r="E295" s="75"/>
      <c r="F295" s="85"/>
      <c r="G295" s="85"/>
      <c r="H295" s="85"/>
      <c r="I295" s="85"/>
      <c r="J295" s="85"/>
      <c r="K295" s="85"/>
      <c r="L295" s="85"/>
      <c r="M295" s="85"/>
      <c r="N295" s="85"/>
    </row>
    <row r="296" spans="1:14" x14ac:dyDescent="0.2">
      <c r="A296" s="6"/>
      <c r="B296" s="6"/>
      <c r="C296" s="75"/>
      <c r="D296" s="75"/>
      <c r="E296" s="75"/>
      <c r="F296" s="85"/>
      <c r="G296" s="85"/>
      <c r="H296" s="85"/>
      <c r="I296" s="85"/>
      <c r="J296" s="85"/>
      <c r="K296" s="85"/>
      <c r="L296" s="85"/>
      <c r="M296" s="85"/>
      <c r="N296" s="85"/>
    </row>
    <row r="297" spans="1:14" x14ac:dyDescent="0.2">
      <c r="A297" s="75"/>
      <c r="B297" s="75"/>
      <c r="C297" s="6"/>
      <c r="D297" s="6"/>
      <c r="E297" s="6"/>
      <c r="F297" s="85"/>
      <c r="G297" s="85"/>
      <c r="H297" s="85"/>
      <c r="I297" s="85"/>
      <c r="J297" s="85"/>
      <c r="K297" s="85"/>
      <c r="L297" s="85"/>
      <c r="M297" s="85"/>
      <c r="N297" s="85"/>
    </row>
    <row r="298" spans="1:14" x14ac:dyDescent="0.2">
      <c r="A298" s="75"/>
      <c r="B298" s="75"/>
      <c r="C298" s="6"/>
      <c r="D298" s="6"/>
      <c r="E298" s="6"/>
      <c r="F298" s="85"/>
      <c r="G298" s="85"/>
      <c r="H298" s="85"/>
      <c r="I298" s="85"/>
      <c r="J298" s="85"/>
      <c r="K298" s="85"/>
      <c r="L298" s="85"/>
      <c r="M298" s="85"/>
      <c r="N298" s="85"/>
    </row>
    <row r="299" spans="1:14" x14ac:dyDescent="0.2">
      <c r="A299" s="75"/>
      <c r="B299" s="75"/>
      <c r="C299" s="6"/>
      <c r="D299" s="6"/>
      <c r="E299" s="6"/>
      <c r="F299" s="85"/>
      <c r="G299" s="85"/>
      <c r="H299" s="85"/>
      <c r="I299" s="85"/>
      <c r="J299" s="85"/>
      <c r="K299" s="85"/>
      <c r="L299" s="85"/>
      <c r="M299" s="85"/>
      <c r="N299" s="85"/>
    </row>
    <row r="300" spans="1:14" x14ac:dyDescent="0.2">
      <c r="A300" s="75"/>
      <c r="B300" s="87"/>
      <c r="C300" s="6"/>
      <c r="D300" s="6"/>
      <c r="E300" s="6"/>
      <c r="F300" s="85"/>
      <c r="G300" s="85"/>
      <c r="H300" s="85"/>
      <c r="I300" s="85"/>
      <c r="J300" s="85"/>
      <c r="K300" s="85"/>
      <c r="L300" s="85"/>
      <c r="M300" s="85"/>
      <c r="N300" s="85"/>
    </row>
    <row r="301" spans="1:14" x14ac:dyDescent="0.2">
      <c r="A301" s="101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</row>
    <row r="302" spans="1:14" x14ac:dyDescent="0.2">
      <c r="A302" s="101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</row>
    <row r="303" spans="1:14" x14ac:dyDescent="0.2">
      <c r="A303" s="101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</row>
    <row r="304" spans="1:14" ht="15.75" customHeight="1" x14ac:dyDescent="0.2">
      <c r="A304" s="6"/>
      <c r="B304" s="6"/>
      <c r="C304" s="75"/>
      <c r="D304" s="75"/>
      <c r="E304" s="75"/>
      <c r="F304" s="85"/>
      <c r="G304" s="85"/>
      <c r="H304" s="85"/>
      <c r="I304" s="85"/>
      <c r="J304" s="85"/>
      <c r="K304" s="85"/>
      <c r="L304" s="85"/>
      <c r="M304" s="85"/>
      <c r="N304" s="85"/>
    </row>
    <row r="305" spans="1:14" x14ac:dyDescent="0.2">
      <c r="A305" s="6"/>
      <c r="B305" s="6"/>
      <c r="C305" s="75"/>
      <c r="D305" s="75"/>
      <c r="E305" s="75"/>
      <c r="F305" s="85"/>
      <c r="G305" s="85"/>
      <c r="H305" s="85"/>
      <c r="I305" s="85"/>
      <c r="J305" s="85"/>
      <c r="K305" s="85"/>
      <c r="L305" s="85"/>
      <c r="M305" s="85"/>
      <c r="N305" s="85"/>
    </row>
    <row r="306" spans="1:14" x14ac:dyDescent="0.2">
      <c r="A306" s="75"/>
      <c r="B306" s="75"/>
      <c r="C306" s="6"/>
      <c r="D306" s="6"/>
      <c r="E306" s="6"/>
      <c r="F306" s="85"/>
      <c r="G306" s="85"/>
      <c r="H306" s="85"/>
      <c r="I306" s="85"/>
      <c r="J306" s="85"/>
      <c r="K306" s="85"/>
      <c r="L306" s="85"/>
      <c r="M306" s="85"/>
      <c r="N306" s="85"/>
    </row>
    <row r="307" spans="1:14" x14ac:dyDescent="0.2">
      <c r="A307" s="75"/>
      <c r="B307" s="75"/>
      <c r="C307" s="6"/>
      <c r="D307" s="6"/>
      <c r="E307" s="6"/>
      <c r="F307" s="85"/>
      <c r="G307" s="85"/>
      <c r="H307" s="85"/>
      <c r="I307" s="85"/>
      <c r="J307" s="85"/>
      <c r="K307" s="85"/>
      <c r="L307" s="85"/>
      <c r="M307" s="85"/>
      <c r="N307" s="85"/>
    </row>
    <row r="308" spans="1:14" x14ac:dyDescent="0.2">
      <c r="A308" s="75"/>
      <c r="B308" s="75"/>
      <c r="C308" s="6"/>
      <c r="D308" s="6"/>
      <c r="E308" s="6"/>
      <c r="F308" s="85"/>
      <c r="G308" s="85"/>
      <c r="H308" s="85"/>
      <c r="I308" s="85"/>
      <c r="J308" s="85"/>
      <c r="K308" s="85"/>
      <c r="L308" s="85"/>
      <c r="M308" s="85"/>
      <c r="N308" s="85"/>
    </row>
    <row r="309" spans="1:14" x14ac:dyDescent="0.2">
      <c r="A309" s="75"/>
      <c r="B309" s="87"/>
      <c r="C309" s="6"/>
      <c r="D309" s="6"/>
      <c r="E309" s="102"/>
      <c r="F309" s="85"/>
      <c r="G309" s="85"/>
      <c r="H309" s="85"/>
      <c r="I309" s="85"/>
      <c r="J309" s="85"/>
      <c r="K309" s="85"/>
      <c r="L309" s="85"/>
      <c r="M309" s="85"/>
      <c r="N309" s="85"/>
    </row>
    <row r="310" spans="1:14" x14ac:dyDescent="0.2">
      <c r="A310" s="91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</row>
    <row r="311" spans="1:14" x14ac:dyDescent="0.2">
      <c r="A311" s="92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</row>
    <row r="312" spans="1:14" x14ac:dyDescent="0.2">
      <c r="A312" s="90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</row>
    <row r="313" spans="1:14" ht="31.5" customHeight="1" x14ac:dyDescent="0.2">
      <c r="A313" s="6"/>
      <c r="B313" s="6"/>
      <c r="C313" s="76"/>
      <c r="D313" s="76"/>
      <c r="E313" s="85"/>
      <c r="F313" s="85"/>
      <c r="G313" s="85"/>
      <c r="H313" s="85"/>
      <c r="I313" s="85"/>
      <c r="J313" s="85"/>
      <c r="K313" s="85"/>
      <c r="L313" s="85"/>
      <c r="M313" s="85"/>
      <c r="N313" s="85"/>
    </row>
    <row r="314" spans="1:14" ht="31.5" customHeight="1" x14ac:dyDescent="0.2">
      <c r="A314" s="6"/>
      <c r="B314" s="6"/>
      <c r="C314" s="6"/>
      <c r="D314" s="6"/>
      <c r="E314" s="85"/>
      <c r="F314" s="85"/>
      <c r="G314" s="85"/>
      <c r="H314" s="85"/>
      <c r="I314" s="85"/>
      <c r="J314" s="85"/>
      <c r="K314" s="85"/>
      <c r="L314" s="85"/>
      <c r="M314" s="85"/>
      <c r="N314" s="85"/>
    </row>
    <row r="315" spans="1:14" ht="15.75" customHeight="1" x14ac:dyDescent="0.2">
      <c r="A315" s="75"/>
      <c r="B315" s="75"/>
      <c r="C315" s="75"/>
      <c r="D315" s="75"/>
      <c r="E315" s="85"/>
      <c r="F315" s="85"/>
      <c r="G315" s="85"/>
      <c r="H315" s="85"/>
      <c r="I315" s="85"/>
      <c r="J315" s="85"/>
      <c r="K315" s="85"/>
      <c r="L315" s="85"/>
      <c r="M315" s="85"/>
      <c r="N315" s="85"/>
    </row>
    <row r="316" spans="1:14" ht="15" customHeight="1" x14ac:dyDescent="0.2">
      <c r="A316" s="75"/>
      <c r="B316" s="75"/>
      <c r="C316" s="75"/>
      <c r="D316" s="75"/>
      <c r="E316" s="85"/>
      <c r="F316" s="85"/>
      <c r="G316" s="85"/>
      <c r="H316" s="85"/>
      <c r="I316" s="85"/>
      <c r="J316" s="85"/>
      <c r="K316" s="85"/>
      <c r="L316" s="85"/>
      <c r="M316" s="85"/>
      <c r="N316" s="85"/>
    </row>
    <row r="317" spans="1:14" x14ac:dyDescent="0.2">
      <c r="A317" s="75"/>
      <c r="B317" s="75"/>
      <c r="C317" s="75"/>
      <c r="D317" s="75"/>
      <c r="E317" s="85"/>
      <c r="F317" s="85"/>
      <c r="G317" s="85"/>
      <c r="H317" s="85"/>
      <c r="I317" s="85"/>
      <c r="J317" s="85"/>
      <c r="K317" s="85"/>
      <c r="L317" s="85"/>
      <c r="M317" s="85"/>
      <c r="N317" s="85"/>
    </row>
    <row r="318" spans="1:14" x14ac:dyDescent="0.2">
      <c r="A318" s="88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</row>
    <row r="319" spans="1:14" x14ac:dyDescent="0.2">
      <c r="A319" s="79"/>
      <c r="B319" s="75"/>
      <c r="C319" s="6"/>
      <c r="D319" s="6"/>
      <c r="E319" s="85"/>
      <c r="F319" s="85"/>
      <c r="G319" s="85"/>
      <c r="H319" s="85"/>
      <c r="I319" s="85"/>
      <c r="J319" s="85"/>
      <c r="K319" s="85"/>
      <c r="L319" s="85"/>
      <c r="M319" s="85"/>
      <c r="N319" s="85"/>
    </row>
    <row r="320" spans="1:14" x14ac:dyDescent="0.2">
      <c r="A320" s="79"/>
      <c r="B320" s="75"/>
      <c r="C320" s="6"/>
      <c r="D320" s="6"/>
      <c r="E320" s="85"/>
      <c r="F320" s="85"/>
      <c r="G320" s="85"/>
      <c r="H320" s="85"/>
      <c r="I320" s="85"/>
      <c r="J320" s="85"/>
      <c r="K320" s="85"/>
      <c r="L320" s="85"/>
      <c r="M320" s="85"/>
      <c r="N320" s="85"/>
    </row>
    <row r="321" spans="1:14" x14ac:dyDescent="0.2">
      <c r="A321" s="75"/>
      <c r="B321" s="87"/>
      <c r="C321" s="77"/>
      <c r="D321" s="77"/>
      <c r="E321" s="85"/>
      <c r="F321" s="85"/>
      <c r="G321" s="85"/>
      <c r="H321" s="85"/>
      <c r="I321" s="85"/>
      <c r="J321" s="85"/>
      <c r="K321" s="85"/>
      <c r="L321" s="85"/>
      <c r="M321" s="85"/>
      <c r="N321" s="85"/>
    </row>
    <row r="322" spans="1:14" x14ac:dyDescent="0.2">
      <c r="A322" s="103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</row>
    <row r="323" spans="1:14" x14ac:dyDescent="0.2">
      <c r="A323" s="79"/>
      <c r="B323" s="79"/>
      <c r="C323" s="77"/>
      <c r="D323" s="77"/>
      <c r="E323" s="85"/>
      <c r="F323" s="85"/>
      <c r="G323" s="85"/>
      <c r="H323" s="85"/>
      <c r="I323" s="85"/>
      <c r="J323" s="85"/>
      <c r="K323" s="85"/>
      <c r="L323" s="85"/>
      <c r="M323" s="85"/>
      <c r="N323" s="85"/>
    </row>
    <row r="324" spans="1:14" x14ac:dyDescent="0.2">
      <c r="A324" s="79"/>
      <c r="B324" s="79"/>
      <c r="C324" s="77"/>
      <c r="D324" s="77"/>
      <c r="E324" s="85"/>
      <c r="F324" s="85"/>
      <c r="G324" s="85"/>
      <c r="H324" s="85"/>
      <c r="I324" s="85"/>
      <c r="J324" s="85"/>
      <c r="K324" s="85"/>
      <c r="L324" s="85"/>
      <c r="M324" s="85"/>
      <c r="N324" s="85"/>
    </row>
    <row r="325" spans="1:14" x14ac:dyDescent="0.2">
      <c r="A325" s="79"/>
      <c r="B325" s="104"/>
      <c r="C325" s="77"/>
      <c r="D325" s="77"/>
      <c r="E325" s="85"/>
      <c r="F325" s="85"/>
      <c r="G325" s="85"/>
      <c r="H325" s="85"/>
      <c r="I325" s="85"/>
      <c r="J325" s="85"/>
      <c r="K325" s="85"/>
      <c r="L325" s="85"/>
      <c r="M325" s="85"/>
      <c r="N325" s="85"/>
    </row>
    <row r="326" spans="1:14" x14ac:dyDescent="0.2">
      <c r="A326" s="10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</row>
    <row r="327" spans="1:14" x14ac:dyDescent="0.2">
      <c r="A327" s="79"/>
      <c r="B327" s="79"/>
      <c r="C327" s="77"/>
      <c r="D327" s="77"/>
      <c r="E327" s="85"/>
      <c r="F327" s="85"/>
      <c r="G327" s="85"/>
      <c r="H327" s="85"/>
      <c r="I327" s="85"/>
      <c r="J327" s="85"/>
      <c r="K327" s="85"/>
      <c r="L327" s="85"/>
      <c r="M327" s="85"/>
      <c r="N327" s="85"/>
    </row>
    <row r="328" spans="1:14" x14ac:dyDescent="0.2">
      <c r="A328" s="79"/>
      <c r="B328" s="79"/>
      <c r="C328" s="77"/>
      <c r="D328" s="77"/>
      <c r="E328" s="85"/>
      <c r="F328" s="85"/>
      <c r="G328" s="85"/>
      <c r="H328" s="85"/>
      <c r="I328" s="85"/>
      <c r="J328" s="85"/>
      <c r="K328" s="85"/>
      <c r="L328" s="85"/>
      <c r="M328" s="85"/>
      <c r="N328" s="85"/>
    </row>
    <row r="329" spans="1:14" x14ac:dyDescent="0.2">
      <c r="A329" s="79"/>
      <c r="B329" s="104"/>
      <c r="C329" s="77"/>
      <c r="D329" s="77"/>
      <c r="E329" s="85"/>
      <c r="F329" s="85"/>
      <c r="G329" s="85"/>
      <c r="H329" s="85"/>
      <c r="I329" s="85"/>
      <c r="J329" s="85"/>
      <c r="K329" s="85"/>
      <c r="L329" s="85"/>
      <c r="M329" s="85"/>
      <c r="N329" s="85"/>
    </row>
    <row r="330" spans="1:14" x14ac:dyDescent="0.2">
      <c r="A330" s="106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</row>
    <row r="331" spans="1:14" x14ac:dyDescent="0.2">
      <c r="A331" s="106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</row>
    <row r="332" spans="1:14" x14ac:dyDescent="0.2">
      <c r="A332" s="106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</row>
    <row r="333" spans="1:14" x14ac:dyDescent="0.2">
      <c r="A333" s="106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</row>
    <row r="334" spans="1:14" x14ac:dyDescent="0.2">
      <c r="A334" s="106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</row>
    <row r="335" spans="1:14" x14ac:dyDescent="0.2">
      <c r="A335" s="106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</row>
    <row r="336" spans="1:14" x14ac:dyDescent="0.2">
      <c r="A336" s="106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</row>
    <row r="337" spans="1:14" x14ac:dyDescent="0.2">
      <c r="A337" s="106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</row>
    <row r="338" spans="1:14" ht="15.75" customHeight="1" x14ac:dyDescent="0.2">
      <c r="A338" s="79"/>
      <c r="B338" s="77"/>
      <c r="C338" s="107"/>
      <c r="D338" s="107"/>
      <c r="E338" s="107"/>
      <c r="F338" s="107"/>
      <c r="G338" s="107"/>
      <c r="H338" s="107"/>
      <c r="I338" s="85"/>
      <c r="J338" s="85"/>
      <c r="K338" s="85"/>
      <c r="L338" s="85"/>
      <c r="M338" s="85"/>
      <c r="N338" s="85"/>
    </row>
    <row r="339" spans="1:14" x14ac:dyDescent="0.2">
      <c r="A339" s="79"/>
      <c r="B339" s="77"/>
      <c r="C339" s="107"/>
      <c r="D339" s="107"/>
      <c r="E339" s="107"/>
      <c r="F339" s="107"/>
      <c r="G339" s="107"/>
      <c r="H339" s="107"/>
      <c r="I339" s="85"/>
      <c r="J339" s="85"/>
      <c r="K339" s="85"/>
      <c r="L339" s="85"/>
      <c r="M339" s="85"/>
      <c r="N339" s="85"/>
    </row>
    <row r="340" spans="1:14" ht="15.75" customHeight="1" x14ac:dyDescent="0.2">
      <c r="A340" s="79"/>
      <c r="B340" s="75"/>
      <c r="C340" s="78"/>
      <c r="D340" s="78"/>
      <c r="E340" s="108"/>
      <c r="F340" s="108"/>
      <c r="G340" s="108"/>
      <c r="H340" s="108"/>
      <c r="I340" s="85"/>
      <c r="J340" s="85"/>
      <c r="K340" s="85"/>
      <c r="L340" s="85"/>
      <c r="M340" s="85"/>
      <c r="N340" s="85"/>
    </row>
    <row r="341" spans="1:14" x14ac:dyDescent="0.2">
      <c r="A341" s="79"/>
      <c r="B341" s="75"/>
      <c r="C341" s="109"/>
      <c r="D341" s="109"/>
      <c r="E341" s="108"/>
      <c r="F341" s="108"/>
      <c r="G341" s="108"/>
      <c r="H341" s="108"/>
      <c r="I341" s="85"/>
      <c r="J341" s="85"/>
      <c r="K341" s="85"/>
      <c r="L341" s="85"/>
      <c r="M341" s="85"/>
      <c r="N341" s="85"/>
    </row>
    <row r="342" spans="1:14" ht="15.75" customHeight="1" x14ac:dyDescent="0.2">
      <c r="A342" s="79"/>
      <c r="B342" s="75"/>
      <c r="C342" s="79"/>
      <c r="D342" s="79"/>
      <c r="E342" s="79"/>
      <c r="F342" s="79"/>
      <c r="G342" s="79"/>
      <c r="H342" s="77"/>
      <c r="I342" s="85"/>
      <c r="J342" s="85"/>
      <c r="K342" s="85"/>
      <c r="L342" s="85"/>
      <c r="M342" s="85"/>
      <c r="N342" s="85"/>
    </row>
    <row r="343" spans="1:14" ht="15.75" customHeight="1" x14ac:dyDescent="0.2">
      <c r="A343" s="79"/>
      <c r="B343" s="75"/>
      <c r="C343" s="79"/>
      <c r="D343" s="79"/>
      <c r="E343" s="79"/>
      <c r="F343" s="79"/>
      <c r="G343" s="79"/>
      <c r="H343" s="77"/>
      <c r="I343" s="85"/>
      <c r="J343" s="85"/>
      <c r="K343" s="85"/>
      <c r="L343" s="85"/>
      <c r="M343" s="85"/>
      <c r="N343" s="85"/>
    </row>
    <row r="344" spans="1:14" x14ac:dyDescent="0.2">
      <c r="A344" s="75"/>
      <c r="B344" s="75"/>
      <c r="C344" s="75"/>
      <c r="D344" s="75"/>
      <c r="E344" s="75"/>
      <c r="F344" s="75"/>
      <c r="G344" s="75"/>
      <c r="H344" s="75"/>
      <c r="I344" s="85"/>
      <c r="J344" s="85"/>
      <c r="K344" s="85"/>
      <c r="L344" s="85"/>
      <c r="M344" s="85"/>
      <c r="N344" s="85"/>
    </row>
    <row r="345" spans="1:14" x14ac:dyDescent="0.2">
      <c r="A345" s="103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</row>
    <row r="346" spans="1:14" x14ac:dyDescent="0.2">
      <c r="A346" s="79"/>
      <c r="B346" s="79"/>
      <c r="C346" s="77"/>
      <c r="D346" s="77"/>
      <c r="E346" s="77"/>
      <c r="F346" s="77"/>
      <c r="G346" s="77"/>
      <c r="H346" s="77"/>
      <c r="I346" s="85"/>
      <c r="J346" s="85"/>
      <c r="K346" s="85"/>
      <c r="L346" s="85"/>
      <c r="M346" s="85"/>
      <c r="N346" s="85"/>
    </row>
    <row r="347" spans="1:14" x14ac:dyDescent="0.2">
      <c r="A347" s="79"/>
      <c r="B347" s="79"/>
      <c r="C347" s="77"/>
      <c r="D347" s="77"/>
      <c r="E347" s="77"/>
      <c r="F347" s="77"/>
      <c r="G347" s="77"/>
      <c r="H347" s="77"/>
      <c r="I347" s="85"/>
      <c r="J347" s="85"/>
      <c r="K347" s="85"/>
      <c r="L347" s="85"/>
      <c r="M347" s="85"/>
      <c r="N347" s="85"/>
    </row>
    <row r="348" spans="1:14" x14ac:dyDescent="0.2">
      <c r="A348" s="79"/>
      <c r="B348" s="104"/>
      <c r="C348" s="77"/>
      <c r="D348" s="77"/>
      <c r="E348" s="77"/>
      <c r="F348" s="77"/>
      <c r="G348" s="77"/>
      <c r="H348" s="77"/>
      <c r="I348" s="85"/>
      <c r="J348" s="85"/>
      <c r="K348" s="85"/>
      <c r="L348" s="85"/>
      <c r="M348" s="85"/>
      <c r="N348" s="85"/>
    </row>
    <row r="349" spans="1:14" x14ac:dyDescent="0.2">
      <c r="A349" s="103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</row>
    <row r="350" spans="1:14" x14ac:dyDescent="0.2">
      <c r="A350" s="79"/>
      <c r="B350" s="79"/>
      <c r="C350" s="77"/>
      <c r="D350" s="77"/>
      <c r="E350" s="77"/>
      <c r="F350" s="77"/>
      <c r="G350" s="77"/>
      <c r="H350" s="77"/>
      <c r="I350" s="85"/>
      <c r="J350" s="85"/>
      <c r="K350" s="85"/>
      <c r="L350" s="85"/>
      <c r="M350" s="85"/>
      <c r="N350" s="85"/>
    </row>
    <row r="351" spans="1:14" x14ac:dyDescent="0.2">
      <c r="A351" s="79"/>
      <c r="B351" s="79"/>
      <c r="C351" s="77"/>
      <c r="D351" s="77"/>
      <c r="E351" s="77"/>
      <c r="F351" s="77"/>
      <c r="G351" s="77"/>
      <c r="H351" s="77"/>
      <c r="I351" s="85"/>
      <c r="J351" s="85"/>
      <c r="K351" s="85"/>
      <c r="L351" s="85"/>
      <c r="M351" s="85"/>
      <c r="N351" s="85"/>
    </row>
    <row r="352" spans="1:14" x14ac:dyDescent="0.2">
      <c r="A352" s="79"/>
      <c r="B352" s="104"/>
      <c r="C352" s="77"/>
      <c r="D352" s="77"/>
      <c r="E352" s="77"/>
      <c r="F352" s="77"/>
      <c r="G352" s="77"/>
      <c r="H352" s="77"/>
      <c r="I352" s="85"/>
      <c r="J352" s="85"/>
      <c r="K352" s="85"/>
      <c r="L352" s="85"/>
      <c r="M352" s="85"/>
      <c r="N352" s="85"/>
    </row>
    <row r="353" spans="1:14" x14ac:dyDescent="0.2">
      <c r="A353" s="105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</row>
    <row r="354" spans="1:14" x14ac:dyDescent="0.2">
      <c r="A354" s="79"/>
      <c r="B354" s="79"/>
      <c r="C354" s="77"/>
      <c r="D354" s="77"/>
      <c r="E354" s="77"/>
      <c r="F354" s="77"/>
      <c r="G354" s="77"/>
      <c r="H354" s="77"/>
      <c r="I354" s="85"/>
      <c r="J354" s="85"/>
      <c r="K354" s="85"/>
      <c r="L354" s="85"/>
      <c r="M354" s="85"/>
      <c r="N354" s="85"/>
    </row>
    <row r="355" spans="1:14" x14ac:dyDescent="0.2">
      <c r="A355" s="79"/>
      <c r="B355" s="79"/>
      <c r="C355" s="77"/>
      <c r="D355" s="77"/>
      <c r="E355" s="77"/>
      <c r="F355" s="77"/>
      <c r="G355" s="77"/>
      <c r="H355" s="77"/>
      <c r="I355" s="85"/>
      <c r="J355" s="85"/>
      <c r="K355" s="85"/>
      <c r="L355" s="85"/>
      <c r="M355" s="85"/>
      <c r="N355" s="85"/>
    </row>
    <row r="356" spans="1:14" x14ac:dyDescent="0.2">
      <c r="A356" s="79"/>
      <c r="B356" s="104"/>
      <c r="C356" s="77"/>
      <c r="D356" s="77"/>
      <c r="E356" s="77"/>
      <c r="F356" s="77"/>
      <c r="G356" s="77"/>
      <c r="H356" s="77"/>
      <c r="I356" s="85"/>
      <c r="J356" s="85"/>
      <c r="K356" s="85"/>
      <c r="L356" s="85"/>
      <c r="M356" s="85"/>
      <c r="N356" s="85"/>
    </row>
    <row r="357" spans="1:14" x14ac:dyDescent="0.2">
      <c r="A357" s="106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</row>
    <row r="358" spans="1:14" x14ac:dyDescent="0.2">
      <c r="A358" s="106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</row>
    <row r="359" spans="1:14" x14ac:dyDescent="0.2">
      <c r="A359" s="106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</row>
    <row r="360" spans="1:14" x14ac:dyDescent="0.2">
      <c r="A360" s="79"/>
      <c r="B360" s="77"/>
      <c r="C360" s="107"/>
      <c r="D360" s="107"/>
      <c r="E360" s="78"/>
      <c r="F360" s="85"/>
      <c r="G360" s="85"/>
      <c r="H360" s="85"/>
      <c r="I360" s="85"/>
      <c r="J360" s="85"/>
      <c r="K360" s="85"/>
      <c r="L360" s="85"/>
      <c r="M360" s="85"/>
      <c r="N360" s="85"/>
    </row>
    <row r="361" spans="1:14" x14ac:dyDescent="0.2">
      <c r="A361" s="79"/>
      <c r="B361" s="77"/>
      <c r="C361" s="107"/>
      <c r="D361" s="107"/>
      <c r="E361" s="78"/>
      <c r="F361" s="85"/>
      <c r="G361" s="85"/>
      <c r="H361" s="85"/>
      <c r="I361" s="85"/>
      <c r="J361" s="85"/>
      <c r="K361" s="85"/>
      <c r="L361" s="85"/>
      <c r="M361" s="85"/>
      <c r="N361" s="85"/>
    </row>
    <row r="362" spans="1:14" ht="15.75" customHeight="1" x14ac:dyDescent="0.2">
      <c r="A362" s="79"/>
      <c r="B362" s="75"/>
      <c r="C362" s="78"/>
      <c r="D362" s="78"/>
      <c r="E362" s="75"/>
      <c r="F362" s="85"/>
      <c r="G362" s="85"/>
      <c r="H362" s="85"/>
      <c r="I362" s="85"/>
      <c r="J362" s="85"/>
      <c r="K362" s="85"/>
      <c r="L362" s="85"/>
      <c r="M362" s="85"/>
      <c r="N362" s="85"/>
    </row>
    <row r="363" spans="1:14" x14ac:dyDescent="0.2">
      <c r="A363" s="79"/>
      <c r="B363" s="75"/>
      <c r="C363" s="109"/>
      <c r="D363" s="109"/>
      <c r="E363" s="75"/>
      <c r="F363" s="85"/>
      <c r="G363" s="85"/>
      <c r="H363" s="85"/>
      <c r="I363" s="85"/>
      <c r="J363" s="85"/>
      <c r="K363" s="85"/>
      <c r="L363" s="85"/>
      <c r="M363" s="85"/>
      <c r="N363" s="85"/>
    </row>
    <row r="364" spans="1:14" ht="15.75" customHeight="1" x14ac:dyDescent="0.2">
      <c r="A364" s="79"/>
      <c r="B364" s="75"/>
      <c r="C364" s="79"/>
      <c r="D364" s="79"/>
      <c r="E364" s="75"/>
      <c r="F364" s="85"/>
      <c r="G364" s="85"/>
      <c r="H364" s="85"/>
      <c r="I364" s="85"/>
      <c r="J364" s="85"/>
      <c r="K364" s="85"/>
      <c r="L364" s="85"/>
      <c r="M364" s="85"/>
      <c r="N364" s="85"/>
    </row>
    <row r="365" spans="1:14" ht="15.75" customHeight="1" x14ac:dyDescent="0.2">
      <c r="A365" s="79"/>
      <c r="B365" s="75"/>
      <c r="C365" s="79"/>
      <c r="D365" s="79"/>
      <c r="E365" s="75"/>
      <c r="F365" s="85"/>
      <c r="G365" s="85"/>
      <c r="H365" s="85"/>
      <c r="I365" s="85"/>
      <c r="J365" s="85"/>
      <c r="K365" s="85"/>
      <c r="L365" s="85"/>
      <c r="M365" s="85"/>
      <c r="N365" s="85"/>
    </row>
    <row r="366" spans="1:14" x14ac:dyDescent="0.2">
      <c r="A366" s="75"/>
      <c r="B366" s="75"/>
      <c r="C366" s="75"/>
      <c r="D366" s="75"/>
      <c r="E366" s="75"/>
      <c r="F366" s="85"/>
      <c r="G366" s="85"/>
      <c r="H366" s="85"/>
      <c r="I366" s="85"/>
      <c r="J366" s="85"/>
      <c r="K366" s="85"/>
      <c r="L366" s="85"/>
      <c r="M366" s="85"/>
      <c r="N366" s="85"/>
    </row>
    <row r="367" spans="1:14" x14ac:dyDescent="0.2">
      <c r="A367" s="103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</row>
    <row r="368" spans="1:14" x14ac:dyDescent="0.2">
      <c r="A368" s="79"/>
      <c r="B368" s="79"/>
      <c r="C368" s="77"/>
      <c r="D368" s="77"/>
      <c r="E368" s="78"/>
      <c r="F368" s="85"/>
      <c r="G368" s="85"/>
      <c r="H368" s="85"/>
      <c r="I368" s="85"/>
      <c r="J368" s="85"/>
      <c r="K368" s="85"/>
      <c r="L368" s="85"/>
      <c r="M368" s="85"/>
      <c r="N368" s="85"/>
    </row>
    <row r="369" spans="1:14" x14ac:dyDescent="0.2">
      <c r="A369" s="79"/>
      <c r="B369" s="79"/>
      <c r="C369" s="77"/>
      <c r="D369" s="77"/>
      <c r="E369" s="78"/>
      <c r="F369" s="85"/>
      <c r="G369" s="85"/>
      <c r="H369" s="85"/>
      <c r="I369" s="85"/>
      <c r="J369" s="85"/>
      <c r="K369" s="85"/>
      <c r="L369" s="85"/>
      <c r="M369" s="85"/>
      <c r="N369" s="85"/>
    </row>
    <row r="370" spans="1:14" x14ac:dyDescent="0.2">
      <c r="A370" s="79"/>
      <c r="B370" s="104"/>
      <c r="C370" s="77"/>
      <c r="D370" s="79"/>
      <c r="E370" s="78"/>
      <c r="F370" s="85"/>
      <c r="G370" s="85"/>
      <c r="H370" s="85"/>
      <c r="I370" s="85"/>
      <c r="J370" s="85"/>
      <c r="K370" s="85"/>
      <c r="L370" s="85"/>
      <c r="M370" s="85"/>
      <c r="N370" s="85"/>
    </row>
    <row r="371" spans="1:14" x14ac:dyDescent="0.2">
      <c r="A371" s="103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</row>
    <row r="372" spans="1:14" x14ac:dyDescent="0.2">
      <c r="A372" s="79"/>
      <c r="B372" s="79"/>
      <c r="C372" s="77"/>
      <c r="D372" s="77"/>
      <c r="E372" s="78"/>
      <c r="F372" s="85"/>
      <c r="G372" s="85"/>
      <c r="H372" s="85"/>
      <c r="I372" s="85"/>
      <c r="J372" s="85"/>
      <c r="K372" s="85"/>
      <c r="L372" s="85"/>
      <c r="M372" s="85"/>
      <c r="N372" s="85"/>
    </row>
    <row r="373" spans="1:14" x14ac:dyDescent="0.2">
      <c r="A373" s="79"/>
      <c r="B373" s="79"/>
      <c r="C373" s="77"/>
      <c r="D373" s="77"/>
      <c r="E373" s="78"/>
      <c r="F373" s="85"/>
      <c r="G373" s="85"/>
      <c r="H373" s="85"/>
      <c r="I373" s="85"/>
      <c r="J373" s="85"/>
      <c r="K373" s="85"/>
      <c r="L373" s="85"/>
      <c r="M373" s="85"/>
      <c r="N373" s="85"/>
    </row>
    <row r="374" spans="1:14" x14ac:dyDescent="0.2">
      <c r="A374" s="79"/>
      <c r="B374" s="104"/>
      <c r="C374" s="77"/>
      <c r="D374" s="77"/>
      <c r="E374" s="78"/>
      <c r="F374" s="85"/>
      <c r="G374" s="85"/>
      <c r="H374" s="85"/>
      <c r="I374" s="85"/>
      <c r="J374" s="85"/>
      <c r="K374" s="85"/>
      <c r="L374" s="85"/>
      <c r="M374" s="85"/>
      <c r="N374" s="85"/>
    </row>
    <row r="375" spans="1:14" x14ac:dyDescent="0.2">
      <c r="A375" s="105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</row>
    <row r="376" spans="1:14" x14ac:dyDescent="0.2">
      <c r="A376" s="79"/>
      <c r="B376" s="79"/>
      <c r="C376" s="77"/>
      <c r="D376" s="77"/>
      <c r="E376" s="78"/>
      <c r="F376" s="85"/>
      <c r="G376" s="85"/>
      <c r="H376" s="85"/>
      <c r="I376" s="85"/>
      <c r="J376" s="85"/>
      <c r="K376" s="85"/>
      <c r="L376" s="85"/>
      <c r="M376" s="85"/>
      <c r="N376" s="85"/>
    </row>
    <row r="377" spans="1:14" x14ac:dyDescent="0.2">
      <c r="A377" s="79"/>
      <c r="B377" s="79"/>
      <c r="C377" s="77"/>
      <c r="D377" s="77"/>
      <c r="E377" s="78"/>
      <c r="F377" s="85"/>
      <c r="G377" s="85"/>
      <c r="H377" s="85"/>
      <c r="I377" s="85"/>
      <c r="J377" s="85"/>
      <c r="K377" s="85"/>
      <c r="L377" s="85"/>
      <c r="M377" s="85"/>
      <c r="N377" s="85"/>
    </row>
    <row r="378" spans="1:14" x14ac:dyDescent="0.2">
      <c r="A378" s="79"/>
      <c r="B378" s="104"/>
      <c r="C378" s="77"/>
      <c r="D378" s="77"/>
      <c r="E378" s="78"/>
      <c r="F378" s="85"/>
      <c r="G378" s="85"/>
      <c r="H378" s="85"/>
      <c r="I378" s="85"/>
      <c r="J378" s="85"/>
      <c r="K378" s="85"/>
      <c r="L378" s="85"/>
      <c r="M378" s="85"/>
      <c r="N378" s="85"/>
    </row>
    <row r="379" spans="1:14" x14ac:dyDescent="0.2">
      <c r="A379" s="106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</row>
    <row r="380" spans="1:14" x14ac:dyDescent="0.2">
      <c r="A380" s="110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</row>
    <row r="381" spans="1:14" x14ac:dyDescent="0.2">
      <c r="A381" s="106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</row>
    <row r="382" spans="1:14" ht="18.75" customHeight="1" x14ac:dyDescent="0.2">
      <c r="A382" s="77"/>
      <c r="B382" s="77"/>
      <c r="C382" s="79"/>
      <c r="D382" s="79"/>
      <c r="E382" s="79"/>
      <c r="F382" s="85"/>
      <c r="G382" s="85"/>
      <c r="H382" s="85"/>
      <c r="I382" s="85"/>
      <c r="J382" s="85"/>
      <c r="K382" s="85"/>
      <c r="L382" s="85"/>
      <c r="M382" s="85"/>
      <c r="N382" s="85"/>
    </row>
    <row r="383" spans="1:14" x14ac:dyDescent="0.2">
      <c r="A383" s="77"/>
      <c r="B383" s="77"/>
      <c r="C383" s="79"/>
      <c r="D383" s="79"/>
      <c r="E383" s="79"/>
      <c r="F383" s="85"/>
      <c r="G383" s="85"/>
      <c r="H383" s="85"/>
      <c r="I383" s="85"/>
      <c r="J383" s="85"/>
      <c r="K383" s="85"/>
      <c r="L383" s="85"/>
      <c r="M383" s="85"/>
      <c r="N383" s="85"/>
    </row>
    <row r="384" spans="1:14" x14ac:dyDescent="0.2">
      <c r="A384" s="75"/>
      <c r="B384" s="75"/>
      <c r="C384" s="77"/>
      <c r="D384" s="77"/>
      <c r="E384" s="77"/>
      <c r="F384" s="85"/>
      <c r="G384" s="85"/>
      <c r="H384" s="85"/>
      <c r="I384" s="85"/>
      <c r="J384" s="85"/>
      <c r="K384" s="85"/>
      <c r="L384" s="85"/>
      <c r="M384" s="85"/>
      <c r="N384" s="85"/>
    </row>
    <row r="385" spans="1:14" x14ac:dyDescent="0.2">
      <c r="A385" s="75"/>
      <c r="B385" s="75"/>
      <c r="C385" s="75"/>
      <c r="D385" s="75"/>
      <c r="E385" s="75"/>
      <c r="F385" s="85"/>
      <c r="G385" s="85"/>
      <c r="H385" s="85"/>
      <c r="I385" s="85"/>
      <c r="J385" s="85"/>
      <c r="K385" s="85"/>
      <c r="L385" s="85"/>
      <c r="M385" s="85"/>
      <c r="N385" s="85"/>
    </row>
    <row r="386" spans="1:14" x14ac:dyDescent="0.2">
      <c r="A386" s="103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</row>
    <row r="387" spans="1:14" x14ac:dyDescent="0.2">
      <c r="A387" s="79"/>
      <c r="B387" s="79"/>
      <c r="C387" s="77"/>
      <c r="D387" s="77"/>
      <c r="E387" s="77"/>
      <c r="F387" s="85"/>
      <c r="G387" s="85"/>
      <c r="H387" s="85"/>
      <c r="I387" s="85"/>
      <c r="J387" s="85"/>
      <c r="K387" s="85"/>
      <c r="L387" s="85"/>
      <c r="M387" s="85"/>
      <c r="N387" s="85"/>
    </row>
    <row r="388" spans="1:14" x14ac:dyDescent="0.2">
      <c r="A388" s="79"/>
      <c r="B388" s="79"/>
      <c r="C388" s="77"/>
      <c r="D388" s="77"/>
      <c r="E388" s="77"/>
      <c r="F388" s="85"/>
      <c r="G388" s="85"/>
      <c r="H388" s="85"/>
      <c r="I388" s="85"/>
      <c r="J388" s="85"/>
      <c r="K388" s="85"/>
      <c r="L388" s="85"/>
      <c r="M388" s="85"/>
      <c r="N388" s="85"/>
    </row>
    <row r="389" spans="1:14" x14ac:dyDescent="0.2">
      <c r="A389" s="79"/>
      <c r="B389" s="104"/>
      <c r="C389" s="77"/>
      <c r="D389" s="77"/>
      <c r="E389" s="77"/>
      <c r="F389" s="85"/>
      <c r="G389" s="85"/>
      <c r="H389" s="85"/>
      <c r="I389" s="85"/>
      <c r="J389" s="85"/>
      <c r="K389" s="85"/>
      <c r="L389" s="85"/>
      <c r="M389" s="85"/>
      <c r="N389" s="85"/>
    </row>
    <row r="390" spans="1:14" x14ac:dyDescent="0.2">
      <c r="A390" s="103"/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</row>
    <row r="391" spans="1:14" x14ac:dyDescent="0.2">
      <c r="A391" s="79"/>
      <c r="B391" s="79"/>
      <c r="C391" s="77"/>
      <c r="D391" s="77"/>
      <c r="E391" s="77"/>
      <c r="F391" s="85"/>
      <c r="G391" s="85"/>
      <c r="H391" s="85"/>
      <c r="I391" s="85"/>
      <c r="J391" s="85"/>
      <c r="K391" s="85"/>
      <c r="L391" s="85"/>
      <c r="M391" s="85"/>
      <c r="N391" s="85"/>
    </row>
    <row r="392" spans="1:14" x14ac:dyDescent="0.2">
      <c r="A392" s="79"/>
      <c r="B392" s="79"/>
      <c r="C392" s="77"/>
      <c r="D392" s="77"/>
      <c r="E392" s="77"/>
      <c r="F392" s="85"/>
      <c r="G392" s="85"/>
      <c r="H392" s="85"/>
      <c r="I392" s="85"/>
      <c r="J392" s="85"/>
      <c r="K392" s="85"/>
      <c r="L392" s="85"/>
      <c r="M392" s="85"/>
      <c r="N392" s="85"/>
    </row>
    <row r="393" spans="1:14" x14ac:dyDescent="0.2">
      <c r="A393" s="79"/>
      <c r="B393" s="104"/>
      <c r="C393" s="77"/>
      <c r="D393" s="77"/>
      <c r="E393" s="77"/>
      <c r="F393" s="85"/>
      <c r="G393" s="85"/>
      <c r="H393" s="85"/>
      <c r="I393" s="85"/>
      <c r="J393" s="85"/>
      <c r="K393" s="85"/>
      <c r="L393" s="85"/>
      <c r="M393" s="85"/>
      <c r="N393" s="85"/>
    </row>
    <row r="394" spans="1:14" x14ac:dyDescent="0.2">
      <c r="A394" s="105"/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</row>
    <row r="395" spans="1:14" x14ac:dyDescent="0.2">
      <c r="A395" s="79"/>
      <c r="B395" s="79"/>
      <c r="C395" s="77"/>
      <c r="D395" s="77"/>
      <c r="E395" s="77"/>
      <c r="F395" s="85"/>
      <c r="G395" s="85"/>
      <c r="H395" s="85"/>
      <c r="I395" s="85"/>
      <c r="J395" s="85"/>
      <c r="K395" s="85"/>
      <c r="L395" s="85"/>
      <c r="M395" s="85"/>
      <c r="N395" s="85"/>
    </row>
    <row r="396" spans="1:14" x14ac:dyDescent="0.2">
      <c r="A396" s="79"/>
      <c r="B396" s="79"/>
      <c r="C396" s="77"/>
      <c r="D396" s="77"/>
      <c r="E396" s="77"/>
      <c r="F396" s="85"/>
      <c r="G396" s="85"/>
      <c r="H396" s="85"/>
      <c r="I396" s="85"/>
      <c r="J396" s="85"/>
      <c r="K396" s="85"/>
      <c r="L396" s="85"/>
      <c r="M396" s="85"/>
      <c r="N396" s="85"/>
    </row>
    <row r="397" spans="1:14" x14ac:dyDescent="0.2">
      <c r="A397" s="79"/>
      <c r="B397" s="104"/>
      <c r="C397" s="77"/>
      <c r="D397" s="77"/>
      <c r="E397" s="77"/>
      <c r="F397" s="85"/>
      <c r="G397" s="85"/>
      <c r="H397" s="85"/>
      <c r="I397" s="85"/>
      <c r="J397" s="85"/>
      <c r="K397" s="85"/>
      <c r="L397" s="85"/>
      <c r="M397" s="85"/>
      <c r="N397" s="85"/>
    </row>
    <row r="398" spans="1:14" x14ac:dyDescent="0.2">
      <c r="A398" s="106"/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</row>
    <row r="399" spans="1:14" x14ac:dyDescent="0.2">
      <c r="A399" s="106"/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</row>
    <row r="400" spans="1:14" ht="15.75" customHeight="1" x14ac:dyDescent="0.2">
      <c r="A400" s="77"/>
      <c r="B400" s="77"/>
      <c r="C400" s="79"/>
      <c r="D400" s="79"/>
      <c r="E400" s="79"/>
      <c r="F400" s="85"/>
      <c r="G400" s="85"/>
      <c r="H400" s="85"/>
      <c r="I400" s="85"/>
      <c r="J400" s="85"/>
      <c r="K400" s="85"/>
      <c r="L400" s="85"/>
      <c r="M400" s="85"/>
      <c r="N400" s="85"/>
    </row>
    <row r="401" spans="1:14" x14ac:dyDescent="0.2">
      <c r="A401" s="77"/>
      <c r="B401" s="77"/>
      <c r="C401" s="79"/>
      <c r="D401" s="79"/>
      <c r="E401" s="79"/>
      <c r="F401" s="85"/>
      <c r="G401" s="85"/>
      <c r="H401" s="85"/>
      <c r="I401" s="85"/>
      <c r="J401" s="85"/>
      <c r="K401" s="85"/>
      <c r="L401" s="85"/>
      <c r="M401" s="85"/>
      <c r="N401" s="85"/>
    </row>
    <row r="402" spans="1:14" x14ac:dyDescent="0.2">
      <c r="A402" s="75"/>
      <c r="B402" s="75"/>
      <c r="C402" s="77"/>
      <c r="D402" s="77"/>
      <c r="E402" s="77"/>
      <c r="F402" s="85"/>
      <c r="G402" s="85"/>
      <c r="H402" s="85"/>
      <c r="I402" s="85"/>
      <c r="J402" s="85"/>
      <c r="K402" s="85"/>
      <c r="L402" s="85"/>
      <c r="M402" s="85"/>
      <c r="N402" s="85"/>
    </row>
    <row r="403" spans="1:14" x14ac:dyDescent="0.2">
      <c r="A403" s="75"/>
      <c r="B403" s="75"/>
      <c r="C403" s="75"/>
      <c r="D403" s="75"/>
      <c r="E403" s="75"/>
      <c r="F403" s="85"/>
      <c r="G403" s="85"/>
      <c r="H403" s="85"/>
      <c r="I403" s="85"/>
      <c r="J403" s="85"/>
      <c r="K403" s="85"/>
      <c r="L403" s="85"/>
      <c r="M403" s="85"/>
      <c r="N403" s="85"/>
    </row>
    <row r="404" spans="1:14" x14ac:dyDescent="0.2">
      <c r="A404" s="103"/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</row>
    <row r="405" spans="1:14" x14ac:dyDescent="0.2">
      <c r="A405" s="79"/>
      <c r="B405" s="79"/>
      <c r="C405" s="77"/>
      <c r="D405" s="77"/>
      <c r="E405" s="77"/>
      <c r="F405" s="85"/>
      <c r="G405" s="85"/>
      <c r="H405" s="85"/>
      <c r="I405" s="85"/>
      <c r="J405" s="85"/>
      <c r="K405" s="85"/>
      <c r="L405" s="85"/>
      <c r="M405" s="85"/>
      <c r="N405" s="85"/>
    </row>
    <row r="406" spans="1:14" x14ac:dyDescent="0.2">
      <c r="A406" s="79"/>
      <c r="B406" s="79"/>
      <c r="C406" s="77"/>
      <c r="D406" s="77"/>
      <c r="E406" s="77"/>
      <c r="F406" s="85"/>
      <c r="G406" s="85"/>
      <c r="H406" s="85"/>
      <c r="I406" s="85"/>
      <c r="J406" s="85"/>
      <c r="K406" s="85"/>
      <c r="L406" s="85"/>
      <c r="M406" s="85"/>
      <c r="N406" s="85"/>
    </row>
    <row r="407" spans="1:14" x14ac:dyDescent="0.2">
      <c r="A407" s="79"/>
      <c r="B407" s="104"/>
      <c r="C407" s="77"/>
      <c r="D407" s="77"/>
      <c r="E407" s="77"/>
      <c r="F407" s="85"/>
      <c r="G407" s="85"/>
      <c r="H407" s="85"/>
      <c r="I407" s="85"/>
      <c r="J407" s="85"/>
      <c r="K407" s="85"/>
      <c r="L407" s="85"/>
      <c r="M407" s="85"/>
      <c r="N407" s="85"/>
    </row>
    <row r="408" spans="1:14" x14ac:dyDescent="0.2">
      <c r="A408" s="103"/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</row>
    <row r="409" spans="1:14" x14ac:dyDescent="0.2">
      <c r="A409" s="79"/>
      <c r="B409" s="79"/>
      <c r="C409" s="77"/>
      <c r="D409" s="77"/>
      <c r="E409" s="77"/>
      <c r="F409" s="85"/>
      <c r="G409" s="85"/>
      <c r="H409" s="85"/>
      <c r="I409" s="85"/>
      <c r="J409" s="85"/>
      <c r="K409" s="85"/>
      <c r="L409" s="85"/>
      <c r="M409" s="85"/>
      <c r="N409" s="85"/>
    </row>
    <row r="410" spans="1:14" x14ac:dyDescent="0.2">
      <c r="A410" s="79"/>
      <c r="B410" s="79"/>
      <c r="C410" s="77"/>
      <c r="D410" s="77"/>
      <c r="E410" s="77"/>
      <c r="F410" s="85"/>
      <c r="G410" s="85"/>
      <c r="H410" s="85"/>
      <c r="I410" s="85"/>
      <c r="J410" s="85"/>
      <c r="K410" s="85"/>
      <c r="L410" s="85"/>
      <c r="M410" s="85"/>
      <c r="N410" s="85"/>
    </row>
    <row r="411" spans="1:14" x14ac:dyDescent="0.2">
      <c r="A411" s="79"/>
      <c r="B411" s="104"/>
      <c r="C411" s="77"/>
      <c r="D411" s="77"/>
      <c r="E411" s="77"/>
      <c r="F411" s="85"/>
      <c r="G411" s="85"/>
      <c r="H411" s="85"/>
      <c r="I411" s="85"/>
      <c r="J411" s="85"/>
      <c r="K411" s="85"/>
      <c r="L411" s="85"/>
      <c r="M411" s="85"/>
      <c r="N411" s="85"/>
    </row>
    <row r="412" spans="1:14" x14ac:dyDescent="0.2">
      <c r="A412" s="105"/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</row>
    <row r="413" spans="1:14" x14ac:dyDescent="0.2">
      <c r="A413" s="79"/>
      <c r="B413" s="79"/>
      <c r="C413" s="77"/>
      <c r="D413" s="77"/>
      <c r="E413" s="77"/>
      <c r="F413" s="85"/>
      <c r="G413" s="85"/>
      <c r="H413" s="85"/>
      <c r="I413" s="85"/>
      <c r="J413" s="85"/>
      <c r="K413" s="85"/>
      <c r="L413" s="85"/>
      <c r="M413" s="85"/>
      <c r="N413" s="85"/>
    </row>
    <row r="414" spans="1:14" x14ac:dyDescent="0.2">
      <c r="A414" s="79"/>
      <c r="B414" s="79"/>
      <c r="C414" s="77"/>
      <c r="D414" s="77"/>
      <c r="E414" s="77"/>
      <c r="F414" s="85"/>
      <c r="G414" s="85"/>
      <c r="H414" s="85"/>
      <c r="I414" s="85"/>
      <c r="J414" s="85"/>
      <c r="K414" s="85"/>
      <c r="L414" s="85"/>
      <c r="M414" s="85"/>
      <c r="N414" s="85"/>
    </row>
    <row r="415" spans="1:14" x14ac:dyDescent="0.2">
      <c r="A415" s="79"/>
      <c r="B415" s="104"/>
      <c r="C415" s="77"/>
      <c r="D415" s="77"/>
      <c r="E415" s="77"/>
      <c r="F415" s="85"/>
      <c r="G415" s="85"/>
      <c r="H415" s="85"/>
      <c r="I415" s="85"/>
      <c r="J415" s="85"/>
      <c r="K415" s="85"/>
      <c r="L415" s="85"/>
      <c r="M415" s="85"/>
      <c r="N415" s="85"/>
    </row>
    <row r="416" spans="1:14" x14ac:dyDescent="0.2">
      <c r="A416" s="89"/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</row>
    <row r="417" spans="1:14" x14ac:dyDescent="0.2">
      <c r="A417" s="91"/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</row>
    <row r="418" spans="1:14" x14ac:dyDescent="0.2">
      <c r="A418" s="91"/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</row>
    <row r="419" spans="1:14" ht="18.75" customHeight="1" x14ac:dyDescent="0.2">
      <c r="A419" s="75"/>
      <c r="B419" s="75"/>
      <c r="C419" s="6"/>
      <c r="D419" s="75"/>
      <c r="E419" s="75"/>
      <c r="F419" s="75"/>
      <c r="G419" s="75"/>
      <c r="H419" s="75"/>
      <c r="I419" s="75"/>
      <c r="J419" s="75"/>
      <c r="K419" s="75"/>
      <c r="L419" s="75"/>
      <c r="M419" s="85"/>
      <c r="N419" s="85"/>
    </row>
    <row r="420" spans="1:14" ht="15" customHeight="1" x14ac:dyDescent="0.2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85"/>
      <c r="N420" s="85"/>
    </row>
    <row r="421" spans="1:14" ht="15" customHeight="1" x14ac:dyDescent="0.2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85"/>
      <c r="N421" s="85"/>
    </row>
    <row r="422" spans="1:14" x14ac:dyDescent="0.2">
      <c r="A422" s="6"/>
      <c r="B422" s="75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85"/>
      <c r="N422" s="85"/>
    </row>
    <row r="423" spans="1:14" x14ac:dyDescent="0.2">
      <c r="A423" s="6"/>
      <c r="B423" s="75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85"/>
      <c r="N423" s="85"/>
    </row>
    <row r="424" spans="1:14" x14ac:dyDescent="0.2">
      <c r="A424" s="91"/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</row>
    <row r="425" spans="1:14" ht="18.75" customHeight="1" x14ac:dyDescent="0.2">
      <c r="A425" s="75"/>
      <c r="B425" s="75"/>
      <c r="C425" s="6"/>
      <c r="D425" s="6"/>
      <c r="E425" s="75"/>
      <c r="F425" s="75"/>
      <c r="G425" s="75"/>
      <c r="H425" s="75"/>
      <c r="I425" s="75"/>
      <c r="J425" s="75"/>
      <c r="K425" s="75"/>
      <c r="L425" s="75"/>
      <c r="M425" s="75"/>
      <c r="N425" s="75"/>
    </row>
    <row r="426" spans="1:14" x14ac:dyDescent="0.2">
      <c r="A426" s="75"/>
      <c r="B426" s="75"/>
      <c r="C426" s="75"/>
      <c r="D426" s="75"/>
      <c r="E426" s="75"/>
      <c r="F426" s="75"/>
      <c r="G426" s="75"/>
      <c r="H426" s="6"/>
      <c r="I426" s="75"/>
      <c r="J426" s="75"/>
      <c r="K426" s="75"/>
      <c r="L426" s="75"/>
      <c r="M426" s="75"/>
      <c r="N426" s="75"/>
    </row>
    <row r="427" spans="1:14" x14ac:dyDescent="0.2">
      <c r="A427" s="75"/>
      <c r="B427" s="75"/>
      <c r="C427" s="75"/>
      <c r="D427" s="75"/>
      <c r="E427" s="75"/>
      <c r="F427" s="75"/>
      <c r="G427" s="75"/>
      <c r="H427" s="111"/>
      <c r="I427" s="75"/>
      <c r="J427" s="75"/>
      <c r="K427" s="75"/>
      <c r="L427" s="75"/>
      <c r="M427" s="75"/>
      <c r="N427" s="75"/>
    </row>
    <row r="428" spans="1:14" x14ac:dyDescent="0.2">
      <c r="A428" s="6"/>
      <c r="B428" s="75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1:14" x14ac:dyDescent="0.2">
      <c r="A429" s="6"/>
      <c r="B429" s="75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1:14" x14ac:dyDescent="0.2">
      <c r="A430" s="91"/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</row>
    <row r="431" spans="1:14" x14ac:dyDescent="0.2">
      <c r="A431" s="75"/>
      <c r="B431" s="75"/>
      <c r="C431" s="75"/>
      <c r="D431" s="75"/>
      <c r="E431" s="75"/>
      <c r="F431" s="6"/>
      <c r="G431" s="85"/>
      <c r="H431" s="85"/>
      <c r="I431" s="85"/>
      <c r="J431" s="85"/>
      <c r="K431" s="85"/>
      <c r="L431" s="85"/>
      <c r="M431" s="85"/>
      <c r="N431" s="85"/>
    </row>
    <row r="432" spans="1:14" x14ac:dyDescent="0.2">
      <c r="A432" s="75"/>
      <c r="B432" s="75"/>
      <c r="C432" s="75"/>
      <c r="D432" s="75"/>
      <c r="E432" s="75"/>
      <c r="F432" s="6"/>
      <c r="G432" s="85"/>
      <c r="H432" s="85"/>
      <c r="I432" s="85"/>
      <c r="J432" s="85"/>
      <c r="K432" s="85"/>
      <c r="L432" s="85"/>
      <c r="M432" s="85"/>
      <c r="N432" s="85"/>
    </row>
    <row r="433" spans="1:14" x14ac:dyDescent="0.2">
      <c r="A433" s="75"/>
      <c r="B433" s="75"/>
      <c r="C433" s="6"/>
      <c r="D433" s="6"/>
      <c r="E433" s="6"/>
      <c r="F433" s="75"/>
      <c r="G433" s="85"/>
      <c r="H433" s="85"/>
      <c r="I433" s="85"/>
      <c r="J433" s="85"/>
      <c r="K433" s="85"/>
      <c r="L433" s="85"/>
      <c r="M433" s="85"/>
      <c r="N433" s="85"/>
    </row>
    <row r="434" spans="1:14" x14ac:dyDescent="0.2">
      <c r="A434" s="6"/>
      <c r="B434" s="75"/>
      <c r="C434" s="6"/>
      <c r="D434" s="6"/>
      <c r="E434" s="6"/>
      <c r="F434" s="6"/>
      <c r="G434" s="85"/>
      <c r="H434" s="85"/>
      <c r="I434" s="85"/>
      <c r="J434" s="85"/>
      <c r="K434" s="85"/>
      <c r="L434" s="85"/>
      <c r="M434" s="85"/>
      <c r="N434" s="85"/>
    </row>
    <row r="435" spans="1:14" x14ac:dyDescent="0.2">
      <c r="A435" s="6"/>
      <c r="B435" s="75"/>
      <c r="C435" s="6"/>
      <c r="D435" s="6"/>
      <c r="E435" s="6"/>
      <c r="F435" s="6"/>
      <c r="G435" s="85"/>
      <c r="H435" s="85"/>
      <c r="I435" s="85"/>
      <c r="J435" s="85"/>
      <c r="K435" s="85"/>
      <c r="L435" s="85"/>
      <c r="M435" s="85"/>
      <c r="N435" s="85"/>
    </row>
    <row r="436" spans="1:14" x14ac:dyDescent="0.2">
      <c r="A436" s="91"/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</row>
    <row r="437" spans="1:14" ht="15.75" customHeight="1" x14ac:dyDescent="0.2">
      <c r="A437" s="75"/>
      <c r="B437" s="6"/>
      <c r="C437" s="75"/>
      <c r="D437" s="75"/>
      <c r="E437" s="75"/>
      <c r="F437" s="85"/>
      <c r="G437" s="85"/>
      <c r="H437" s="85"/>
      <c r="I437" s="85"/>
      <c r="J437" s="85"/>
      <c r="K437" s="85"/>
      <c r="L437" s="85"/>
      <c r="M437" s="85"/>
      <c r="N437" s="85"/>
    </row>
    <row r="438" spans="1:14" x14ac:dyDescent="0.2">
      <c r="A438" s="75"/>
      <c r="B438" s="6"/>
      <c r="C438" s="75"/>
      <c r="D438" s="75"/>
      <c r="E438" s="87"/>
      <c r="F438" s="85"/>
      <c r="G438" s="85"/>
      <c r="H438" s="85"/>
      <c r="I438" s="85"/>
      <c r="J438" s="85"/>
      <c r="K438" s="85"/>
      <c r="L438" s="85"/>
      <c r="M438" s="85"/>
      <c r="N438" s="85"/>
    </row>
    <row r="439" spans="1:14" x14ac:dyDescent="0.2">
      <c r="A439" s="75"/>
      <c r="B439" s="75"/>
      <c r="C439" s="6"/>
      <c r="D439" s="6"/>
      <c r="E439" s="6"/>
      <c r="F439" s="85"/>
      <c r="G439" s="85"/>
      <c r="H439" s="85"/>
      <c r="I439" s="85"/>
      <c r="J439" s="85"/>
      <c r="K439" s="85"/>
      <c r="L439" s="85"/>
      <c r="M439" s="85"/>
      <c r="N439" s="85"/>
    </row>
    <row r="440" spans="1:14" x14ac:dyDescent="0.2">
      <c r="A440" s="6"/>
      <c r="B440" s="75"/>
      <c r="C440" s="6"/>
      <c r="D440" s="6"/>
      <c r="E440" s="6"/>
      <c r="F440" s="85"/>
      <c r="G440" s="85"/>
      <c r="H440" s="85"/>
      <c r="I440" s="85"/>
      <c r="J440" s="85"/>
      <c r="K440" s="85"/>
      <c r="L440" s="85"/>
      <c r="M440" s="85"/>
      <c r="N440" s="85"/>
    </row>
    <row r="441" spans="1:14" x14ac:dyDescent="0.2">
      <c r="A441" s="6"/>
      <c r="B441" s="75"/>
      <c r="C441" s="6"/>
      <c r="D441" s="6"/>
      <c r="E441" s="6"/>
      <c r="F441" s="85"/>
      <c r="G441" s="85"/>
      <c r="H441" s="85"/>
      <c r="I441" s="85"/>
      <c r="J441" s="85"/>
      <c r="K441" s="85"/>
      <c r="L441" s="85"/>
      <c r="M441" s="85"/>
      <c r="N441" s="85"/>
    </row>
    <row r="442" spans="1:14" x14ac:dyDescent="0.2">
      <c r="A442" s="91"/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</row>
    <row r="443" spans="1:14" x14ac:dyDescent="0.2">
      <c r="A443" s="75"/>
      <c r="B443" s="6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85"/>
    </row>
    <row r="444" spans="1:14" x14ac:dyDescent="0.2">
      <c r="A444" s="75"/>
      <c r="B444" s="6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85"/>
    </row>
    <row r="445" spans="1:14" ht="15.75" customHeight="1" x14ac:dyDescent="0.2">
      <c r="A445" s="75"/>
      <c r="B445" s="6"/>
      <c r="C445" s="112"/>
      <c r="D445" s="112"/>
      <c r="E445" s="87"/>
      <c r="F445" s="87"/>
      <c r="G445" s="87"/>
      <c r="H445" s="87"/>
      <c r="I445" s="75"/>
      <c r="J445" s="75"/>
      <c r="K445" s="75"/>
      <c r="L445" s="75"/>
      <c r="M445" s="75"/>
      <c r="N445" s="85"/>
    </row>
    <row r="446" spans="1:14" ht="16.5" customHeight="1" x14ac:dyDescent="0.2">
      <c r="A446" s="75"/>
      <c r="B446" s="6"/>
      <c r="C446" s="6"/>
      <c r="D446" s="112"/>
      <c r="E446" s="75"/>
      <c r="F446" s="87"/>
      <c r="G446" s="87"/>
      <c r="H446" s="87"/>
      <c r="I446" s="75"/>
      <c r="J446" s="75"/>
      <c r="K446" s="75"/>
      <c r="L446" s="75"/>
      <c r="M446" s="75"/>
      <c r="N446" s="85"/>
    </row>
    <row r="447" spans="1:14" x14ac:dyDescent="0.2">
      <c r="A447" s="75"/>
      <c r="B447" s="75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85"/>
    </row>
    <row r="448" spans="1:14" x14ac:dyDescent="0.2">
      <c r="A448" s="6"/>
      <c r="B448" s="75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85"/>
    </row>
    <row r="449" spans="1:14" x14ac:dyDescent="0.2">
      <c r="A449" s="6"/>
      <c r="B449" s="75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85"/>
    </row>
    <row r="450" spans="1:14" x14ac:dyDescent="0.2">
      <c r="A450" s="92"/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</row>
    <row r="451" spans="1:14" x14ac:dyDescent="0.2">
      <c r="A451" s="92"/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</row>
    <row r="452" spans="1:14" ht="18.75" customHeight="1" x14ac:dyDescent="0.2">
      <c r="A452" s="75"/>
      <c r="B452" s="75"/>
      <c r="C452" s="6"/>
      <c r="D452" s="75"/>
      <c r="E452" s="75"/>
      <c r="F452" s="75"/>
      <c r="G452" s="75"/>
      <c r="H452" s="75"/>
      <c r="I452" s="75"/>
      <c r="J452" s="75"/>
      <c r="K452" s="75"/>
      <c r="L452" s="75"/>
      <c r="M452" s="85"/>
      <c r="N452" s="85"/>
    </row>
    <row r="453" spans="1:14" ht="15" customHeight="1" x14ac:dyDescent="0.2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85"/>
      <c r="N453" s="85"/>
    </row>
    <row r="454" spans="1:14" ht="15" customHeight="1" x14ac:dyDescent="0.2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85"/>
      <c r="N454" s="85"/>
    </row>
    <row r="455" spans="1:14" x14ac:dyDescent="0.2">
      <c r="A455" s="96"/>
      <c r="B455" s="96"/>
      <c r="C455" s="96"/>
      <c r="D455" s="96"/>
      <c r="E455" s="96"/>
      <c r="F455" s="96"/>
      <c r="G455" s="96"/>
      <c r="H455" s="96"/>
      <c r="I455" s="96"/>
      <c r="J455" s="96"/>
      <c r="K455" s="96"/>
      <c r="L455" s="96"/>
      <c r="M455" s="85"/>
      <c r="N455" s="85"/>
    </row>
    <row r="456" spans="1:14" x14ac:dyDescent="0.2">
      <c r="A456" s="6"/>
      <c r="B456" s="75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85"/>
      <c r="N456" s="85"/>
    </row>
    <row r="457" spans="1:14" x14ac:dyDescent="0.2">
      <c r="A457" s="6"/>
      <c r="B457" s="75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85"/>
      <c r="N457" s="85"/>
    </row>
    <row r="458" spans="1:14" ht="15.75" customHeight="1" x14ac:dyDescent="0.2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85"/>
      <c r="N458" s="85"/>
    </row>
    <row r="459" spans="1:14" x14ac:dyDescent="0.2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85"/>
      <c r="N459" s="85"/>
    </row>
    <row r="460" spans="1:14" x14ac:dyDescent="0.2">
      <c r="A460" s="96"/>
      <c r="B460" s="96"/>
      <c r="C460" s="96"/>
      <c r="D460" s="96"/>
      <c r="E460" s="96"/>
      <c r="F460" s="96"/>
      <c r="G460" s="96"/>
      <c r="H460" s="96"/>
      <c r="I460" s="96"/>
      <c r="J460" s="96"/>
      <c r="K460" s="96"/>
      <c r="L460" s="96"/>
      <c r="M460" s="85"/>
      <c r="N460" s="85"/>
    </row>
    <row r="461" spans="1:14" x14ac:dyDescent="0.2">
      <c r="A461" s="6"/>
      <c r="B461" s="75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85"/>
      <c r="N461" s="85"/>
    </row>
    <row r="462" spans="1:14" x14ac:dyDescent="0.2">
      <c r="A462" s="6"/>
      <c r="B462" s="75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85"/>
      <c r="N462" s="85"/>
    </row>
    <row r="463" spans="1:14" ht="15.75" customHeight="1" x14ac:dyDescent="0.2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85"/>
      <c r="N463" s="85"/>
    </row>
    <row r="464" spans="1:14" x14ac:dyDescent="0.2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85"/>
      <c r="N464" s="85"/>
    </row>
    <row r="465" spans="1:14" x14ac:dyDescent="0.2">
      <c r="A465" s="96"/>
      <c r="B465" s="96"/>
      <c r="C465" s="96"/>
      <c r="D465" s="96"/>
      <c r="E465" s="96"/>
      <c r="F465" s="96"/>
      <c r="G465" s="96"/>
      <c r="H465" s="96"/>
      <c r="I465" s="96"/>
      <c r="J465" s="96"/>
      <c r="K465" s="96"/>
      <c r="L465" s="96"/>
      <c r="M465" s="85"/>
      <c r="N465" s="85"/>
    </row>
    <row r="466" spans="1:14" x14ac:dyDescent="0.2">
      <c r="A466" s="6"/>
      <c r="B466" s="75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85"/>
      <c r="N466" s="85"/>
    </row>
    <row r="467" spans="1:14" x14ac:dyDescent="0.2">
      <c r="A467" s="6"/>
      <c r="B467" s="75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85"/>
      <c r="N467" s="85"/>
    </row>
    <row r="468" spans="1:14" ht="15.75" customHeight="1" x14ac:dyDescent="0.2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85"/>
      <c r="N468" s="85"/>
    </row>
    <row r="469" spans="1:14" x14ac:dyDescent="0.2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85"/>
      <c r="N469" s="85"/>
    </row>
    <row r="470" spans="1:14" x14ac:dyDescent="0.2">
      <c r="A470" s="91"/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</row>
    <row r="471" spans="1:14" ht="18.75" customHeight="1" x14ac:dyDescent="0.2">
      <c r="A471" s="75"/>
      <c r="B471" s="75"/>
      <c r="C471" s="6"/>
      <c r="D471" s="6"/>
      <c r="E471" s="75"/>
      <c r="F471" s="75"/>
      <c r="G471" s="75"/>
      <c r="H471" s="75"/>
      <c r="I471" s="75"/>
      <c r="J471" s="75"/>
      <c r="K471" s="75"/>
      <c r="L471" s="75"/>
      <c r="M471" s="75"/>
      <c r="N471" s="75"/>
    </row>
    <row r="472" spans="1:14" x14ac:dyDescent="0.2">
      <c r="A472" s="75"/>
      <c r="B472" s="75"/>
      <c r="C472" s="75"/>
      <c r="D472" s="75"/>
      <c r="E472" s="75"/>
      <c r="F472" s="75"/>
      <c r="G472" s="75"/>
      <c r="H472" s="6"/>
      <c r="I472" s="75"/>
      <c r="J472" s="75"/>
      <c r="K472" s="75"/>
      <c r="L472" s="75"/>
      <c r="M472" s="75"/>
      <c r="N472" s="75"/>
    </row>
    <row r="473" spans="1:14" x14ac:dyDescent="0.2">
      <c r="A473" s="75"/>
      <c r="B473" s="75"/>
      <c r="C473" s="75"/>
      <c r="D473" s="75"/>
      <c r="E473" s="75"/>
      <c r="F473" s="75"/>
      <c r="G473" s="75"/>
      <c r="H473" s="111"/>
      <c r="I473" s="75"/>
      <c r="J473" s="75"/>
      <c r="K473" s="75"/>
      <c r="L473" s="75"/>
      <c r="M473" s="75"/>
      <c r="N473" s="75"/>
    </row>
    <row r="474" spans="1:14" x14ac:dyDescent="0.2">
      <c r="A474" s="96"/>
      <c r="B474" s="96"/>
      <c r="C474" s="96"/>
      <c r="D474" s="96"/>
      <c r="E474" s="96"/>
      <c r="F474" s="96"/>
      <c r="G474" s="96"/>
      <c r="H474" s="96"/>
      <c r="I474" s="96"/>
      <c r="J474" s="96"/>
      <c r="K474" s="96"/>
      <c r="L474" s="96"/>
      <c r="M474" s="96"/>
      <c r="N474" s="96"/>
    </row>
    <row r="475" spans="1:14" x14ac:dyDescent="0.2">
      <c r="A475" s="6"/>
      <c r="B475" s="75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1:14" x14ac:dyDescent="0.2">
      <c r="A476" s="6"/>
      <c r="B476" s="75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1:14" x14ac:dyDescent="0.2">
      <c r="A477" s="96"/>
      <c r="B477" s="96"/>
      <c r="C477" s="96"/>
      <c r="D477" s="96"/>
      <c r="E477" s="96"/>
      <c r="F477" s="96"/>
      <c r="G477" s="96"/>
      <c r="H477" s="96"/>
      <c r="I477" s="96"/>
      <c r="J477" s="96"/>
      <c r="K477" s="96"/>
      <c r="L477" s="96"/>
      <c r="M477" s="96"/>
      <c r="N477" s="96"/>
    </row>
    <row r="478" spans="1:14" x14ac:dyDescent="0.2">
      <c r="A478" s="6"/>
      <c r="B478" s="75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1:14" x14ac:dyDescent="0.2">
      <c r="A479" s="6"/>
      <c r="B479" s="75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1:14" x14ac:dyDescent="0.2">
      <c r="A480" s="96"/>
      <c r="B480" s="96"/>
      <c r="C480" s="96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</row>
    <row r="481" spans="1:14" x14ac:dyDescent="0.2">
      <c r="A481" s="6"/>
      <c r="B481" s="75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1:14" x14ac:dyDescent="0.2">
      <c r="A482" s="6"/>
      <c r="B482" s="75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1:14" x14ac:dyDescent="0.2">
      <c r="A483" s="92"/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</row>
    <row r="484" spans="1:14" x14ac:dyDescent="0.2">
      <c r="A484" s="92"/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</row>
    <row r="485" spans="1:14" x14ac:dyDescent="0.2">
      <c r="A485" s="92"/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</row>
    <row r="486" spans="1:14" x14ac:dyDescent="0.2">
      <c r="A486" s="75"/>
      <c r="B486" s="75"/>
      <c r="C486" s="75"/>
      <c r="D486" s="75"/>
      <c r="E486" s="75"/>
      <c r="F486" s="6"/>
      <c r="G486" s="85"/>
      <c r="H486" s="85"/>
      <c r="I486" s="85"/>
      <c r="J486" s="85"/>
      <c r="K486" s="85"/>
      <c r="L486" s="85"/>
      <c r="M486" s="85"/>
      <c r="N486" s="85"/>
    </row>
    <row r="487" spans="1:14" x14ac:dyDescent="0.2">
      <c r="A487" s="75"/>
      <c r="B487" s="75"/>
      <c r="C487" s="75"/>
      <c r="D487" s="75"/>
      <c r="E487" s="75"/>
      <c r="F487" s="6"/>
      <c r="G487" s="85"/>
      <c r="H487" s="85"/>
      <c r="I487" s="85"/>
      <c r="J487" s="85"/>
      <c r="K487" s="85"/>
      <c r="L487" s="85"/>
      <c r="M487" s="85"/>
      <c r="N487" s="85"/>
    </row>
    <row r="488" spans="1:14" x14ac:dyDescent="0.2">
      <c r="A488" s="75"/>
      <c r="B488" s="75"/>
      <c r="C488" s="6"/>
      <c r="D488" s="6"/>
      <c r="E488" s="6"/>
      <c r="F488" s="75"/>
      <c r="G488" s="85"/>
      <c r="H488" s="85"/>
      <c r="I488" s="85"/>
      <c r="J488" s="85"/>
      <c r="K488" s="85"/>
      <c r="L488" s="85"/>
      <c r="M488" s="85"/>
      <c r="N488" s="85"/>
    </row>
    <row r="489" spans="1:14" x14ac:dyDescent="0.2">
      <c r="A489" s="96"/>
      <c r="B489" s="96"/>
      <c r="C489" s="96"/>
      <c r="D489" s="96"/>
      <c r="E489" s="96"/>
      <c r="F489" s="96"/>
      <c r="G489" s="85"/>
      <c r="H489" s="85"/>
      <c r="I489" s="85"/>
      <c r="J489" s="85"/>
      <c r="K489" s="85"/>
      <c r="L489" s="85"/>
      <c r="M489" s="85"/>
      <c r="N489" s="85"/>
    </row>
    <row r="490" spans="1:14" x14ac:dyDescent="0.2">
      <c r="A490" s="6"/>
      <c r="B490" s="75"/>
      <c r="C490" s="6"/>
      <c r="D490" s="6"/>
      <c r="E490" s="6"/>
      <c r="F490" s="6"/>
      <c r="G490" s="85"/>
      <c r="H490" s="85"/>
      <c r="I490" s="85"/>
      <c r="J490" s="85"/>
      <c r="K490" s="85"/>
      <c r="L490" s="85"/>
      <c r="M490" s="85"/>
      <c r="N490" s="85"/>
    </row>
    <row r="491" spans="1:14" x14ac:dyDescent="0.2">
      <c r="A491" s="6"/>
      <c r="B491" s="75"/>
      <c r="C491" s="6"/>
      <c r="D491" s="6"/>
      <c r="E491" s="6"/>
      <c r="F491" s="6"/>
      <c r="G491" s="85"/>
      <c r="H491" s="85"/>
      <c r="I491" s="85"/>
      <c r="J491" s="85"/>
      <c r="K491" s="85"/>
      <c r="L491" s="85"/>
      <c r="M491" s="85"/>
      <c r="N491" s="85"/>
    </row>
    <row r="492" spans="1:14" x14ac:dyDescent="0.2">
      <c r="A492" s="96"/>
      <c r="B492" s="96"/>
      <c r="C492" s="96"/>
      <c r="D492" s="96"/>
      <c r="E492" s="96"/>
      <c r="F492" s="96"/>
      <c r="G492" s="85"/>
      <c r="H492" s="85"/>
      <c r="I492" s="85"/>
      <c r="J492" s="85"/>
      <c r="K492" s="85"/>
      <c r="L492" s="85"/>
      <c r="M492" s="85"/>
      <c r="N492" s="85"/>
    </row>
    <row r="493" spans="1:14" x14ac:dyDescent="0.2">
      <c r="A493" s="6"/>
      <c r="B493" s="75"/>
      <c r="C493" s="6"/>
      <c r="D493" s="6"/>
      <c r="E493" s="6"/>
      <c r="F493" s="6"/>
      <c r="G493" s="85"/>
      <c r="H493" s="85"/>
      <c r="I493" s="85"/>
      <c r="J493" s="85"/>
      <c r="K493" s="85"/>
      <c r="L493" s="85"/>
      <c r="M493" s="85"/>
      <c r="N493" s="85"/>
    </row>
    <row r="494" spans="1:14" x14ac:dyDescent="0.2">
      <c r="A494" s="6"/>
      <c r="B494" s="75"/>
      <c r="C494" s="6"/>
      <c r="D494" s="6"/>
      <c r="E494" s="6"/>
      <c r="F494" s="6"/>
      <c r="G494" s="85"/>
      <c r="H494" s="85"/>
      <c r="I494" s="85"/>
      <c r="J494" s="85"/>
      <c r="K494" s="85"/>
      <c r="L494" s="85"/>
      <c r="M494" s="85"/>
      <c r="N494" s="85"/>
    </row>
    <row r="495" spans="1:14" x14ac:dyDescent="0.2">
      <c r="A495" s="96"/>
      <c r="B495" s="96"/>
      <c r="C495" s="96"/>
      <c r="D495" s="96"/>
      <c r="E495" s="96"/>
      <c r="F495" s="96"/>
      <c r="G495" s="85"/>
      <c r="H495" s="85"/>
      <c r="I495" s="85"/>
      <c r="J495" s="85"/>
      <c r="K495" s="85"/>
      <c r="L495" s="85"/>
      <c r="M495" s="85"/>
      <c r="N495" s="85"/>
    </row>
    <row r="496" spans="1:14" x14ac:dyDescent="0.2">
      <c r="A496" s="6"/>
      <c r="B496" s="75"/>
      <c r="C496" s="6"/>
      <c r="D496" s="6"/>
      <c r="E496" s="6"/>
      <c r="F496" s="6"/>
      <c r="G496" s="85"/>
      <c r="H496" s="85"/>
      <c r="I496" s="85"/>
      <c r="J496" s="85"/>
      <c r="K496" s="85"/>
      <c r="L496" s="85"/>
      <c r="M496" s="85"/>
      <c r="N496" s="85"/>
    </row>
    <row r="497" spans="1:14" x14ac:dyDescent="0.2">
      <c r="A497" s="6"/>
      <c r="B497" s="75"/>
      <c r="C497" s="6"/>
      <c r="D497" s="6"/>
      <c r="E497" s="6"/>
      <c r="F497" s="6"/>
      <c r="G497" s="85"/>
      <c r="H497" s="85"/>
      <c r="I497" s="85"/>
      <c r="J497" s="85"/>
      <c r="K497" s="85"/>
      <c r="L497" s="85"/>
      <c r="M497" s="85"/>
      <c r="N497" s="85"/>
    </row>
    <row r="498" spans="1:14" x14ac:dyDescent="0.2">
      <c r="A498" s="91"/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</row>
    <row r="499" spans="1:14" ht="15.75" customHeight="1" x14ac:dyDescent="0.2">
      <c r="A499" s="75"/>
      <c r="B499" s="6"/>
      <c r="C499" s="75"/>
      <c r="D499" s="75"/>
      <c r="E499" s="75"/>
      <c r="F499" s="85"/>
      <c r="G499" s="85"/>
      <c r="H499" s="85"/>
      <c r="I499" s="85"/>
      <c r="J499" s="85"/>
      <c r="K499" s="85"/>
      <c r="L499" s="85"/>
      <c r="M499" s="85"/>
      <c r="N499" s="85"/>
    </row>
    <row r="500" spans="1:14" x14ac:dyDescent="0.2">
      <c r="A500" s="75"/>
      <c r="B500" s="6"/>
      <c r="C500" s="75"/>
      <c r="D500" s="75"/>
      <c r="E500" s="87"/>
      <c r="F500" s="85"/>
      <c r="G500" s="85"/>
      <c r="H500" s="85"/>
      <c r="I500" s="85"/>
      <c r="J500" s="85"/>
      <c r="K500" s="85"/>
      <c r="L500" s="85"/>
      <c r="M500" s="85"/>
      <c r="N500" s="85"/>
    </row>
    <row r="501" spans="1:14" x14ac:dyDescent="0.2">
      <c r="A501" s="75"/>
      <c r="B501" s="75"/>
      <c r="C501" s="6"/>
      <c r="D501" s="6"/>
      <c r="E501" s="6"/>
      <c r="F501" s="85"/>
      <c r="G501" s="85"/>
      <c r="H501" s="85"/>
      <c r="I501" s="85"/>
      <c r="J501" s="85"/>
      <c r="K501" s="85"/>
      <c r="L501" s="85"/>
      <c r="M501" s="85"/>
      <c r="N501" s="85"/>
    </row>
    <row r="502" spans="1:14" x14ac:dyDescent="0.2">
      <c r="A502" s="96"/>
      <c r="B502" s="96"/>
      <c r="C502" s="96"/>
      <c r="D502" s="96"/>
      <c r="E502" s="96"/>
      <c r="F502" s="85"/>
      <c r="G502" s="85"/>
      <c r="H502" s="85"/>
      <c r="I502" s="85"/>
      <c r="J502" s="85"/>
      <c r="K502" s="85"/>
      <c r="L502" s="85"/>
      <c r="M502" s="85"/>
      <c r="N502" s="85"/>
    </row>
    <row r="503" spans="1:14" x14ac:dyDescent="0.2">
      <c r="A503" s="80"/>
      <c r="B503" s="75"/>
      <c r="C503" s="6"/>
      <c r="D503" s="6"/>
      <c r="E503" s="6"/>
      <c r="F503" s="85"/>
      <c r="G503" s="85"/>
      <c r="H503" s="85"/>
      <c r="I503" s="85"/>
      <c r="J503" s="85"/>
      <c r="K503" s="85"/>
      <c r="L503" s="85"/>
      <c r="M503" s="85"/>
      <c r="N503" s="85"/>
    </row>
    <row r="504" spans="1:14" x14ac:dyDescent="0.2">
      <c r="A504" s="6"/>
      <c r="B504" s="75"/>
      <c r="C504" s="6"/>
      <c r="D504" s="6"/>
      <c r="E504" s="6"/>
      <c r="F504" s="85"/>
      <c r="G504" s="85"/>
      <c r="H504" s="85"/>
      <c r="I504" s="85"/>
      <c r="J504" s="85"/>
      <c r="K504" s="85"/>
      <c r="L504" s="85"/>
      <c r="M504" s="85"/>
      <c r="N504" s="85"/>
    </row>
    <row r="505" spans="1:14" x14ac:dyDescent="0.2">
      <c r="A505" s="6"/>
      <c r="B505" s="75"/>
      <c r="C505" s="6"/>
      <c r="D505" s="6"/>
      <c r="E505" s="6"/>
      <c r="F505" s="85"/>
      <c r="G505" s="85"/>
      <c r="H505" s="85"/>
      <c r="I505" s="85"/>
      <c r="J505" s="85"/>
      <c r="K505" s="85"/>
      <c r="L505" s="85"/>
      <c r="M505" s="85"/>
      <c r="N505" s="85"/>
    </row>
    <row r="506" spans="1:14" x14ac:dyDescent="0.2">
      <c r="A506" s="96"/>
      <c r="B506" s="96"/>
      <c r="C506" s="96"/>
      <c r="D506" s="96"/>
      <c r="E506" s="96"/>
      <c r="F506" s="85"/>
      <c r="G506" s="85"/>
      <c r="H506" s="85"/>
      <c r="I506" s="85"/>
      <c r="J506" s="85"/>
      <c r="K506" s="85"/>
      <c r="L506" s="85"/>
      <c r="M506" s="85"/>
      <c r="N506" s="85"/>
    </row>
    <row r="507" spans="1:14" x14ac:dyDescent="0.2">
      <c r="A507" s="6"/>
      <c r="B507" s="75"/>
      <c r="C507" s="6"/>
      <c r="D507" s="6"/>
      <c r="E507" s="6"/>
      <c r="F507" s="85"/>
      <c r="G507" s="85"/>
      <c r="H507" s="85"/>
      <c r="I507" s="85"/>
      <c r="J507" s="85"/>
      <c r="K507" s="85"/>
      <c r="L507" s="85"/>
      <c r="M507" s="85"/>
      <c r="N507" s="85"/>
    </row>
    <row r="508" spans="1:14" x14ac:dyDescent="0.2">
      <c r="A508" s="6"/>
      <c r="B508" s="75"/>
      <c r="C508" s="6"/>
      <c r="D508" s="6"/>
      <c r="E508" s="6"/>
      <c r="F508" s="85"/>
      <c r="G508" s="85"/>
      <c r="H508" s="85"/>
      <c r="I508" s="85"/>
      <c r="J508" s="85"/>
      <c r="K508" s="85"/>
      <c r="L508" s="85"/>
      <c r="M508" s="85"/>
      <c r="N508" s="85"/>
    </row>
    <row r="509" spans="1:14" x14ac:dyDescent="0.2">
      <c r="A509" s="6"/>
      <c r="B509" s="75"/>
      <c r="C509" s="6"/>
      <c r="D509" s="6"/>
      <c r="E509" s="6"/>
      <c r="F509" s="85"/>
      <c r="G509" s="85"/>
      <c r="H509" s="85"/>
      <c r="I509" s="85"/>
      <c r="J509" s="85"/>
      <c r="K509" s="85"/>
      <c r="L509" s="85"/>
      <c r="M509" s="85"/>
      <c r="N509" s="85"/>
    </row>
    <row r="510" spans="1:14" x14ac:dyDescent="0.2">
      <c r="A510" s="96"/>
      <c r="B510" s="96"/>
      <c r="C510" s="96"/>
      <c r="D510" s="96"/>
      <c r="E510" s="96"/>
      <c r="F510" s="85"/>
      <c r="G510" s="85"/>
      <c r="H510" s="85"/>
      <c r="I510" s="85"/>
      <c r="J510" s="85"/>
      <c r="K510" s="85"/>
      <c r="L510" s="85"/>
      <c r="M510" s="85"/>
      <c r="N510" s="85"/>
    </row>
    <row r="511" spans="1:14" x14ac:dyDescent="0.2">
      <c r="A511" s="80"/>
      <c r="B511" s="75"/>
      <c r="C511" s="6"/>
      <c r="D511" s="6"/>
      <c r="E511" s="6"/>
      <c r="F511" s="85"/>
      <c r="G511" s="85"/>
      <c r="H511" s="85"/>
      <c r="I511" s="85"/>
      <c r="J511" s="85"/>
      <c r="K511" s="85"/>
      <c r="L511" s="85"/>
      <c r="M511" s="85"/>
      <c r="N511" s="85"/>
    </row>
    <row r="512" spans="1:14" x14ac:dyDescent="0.2">
      <c r="A512" s="6"/>
      <c r="B512" s="75"/>
      <c r="C512" s="6"/>
      <c r="D512" s="6"/>
      <c r="E512" s="6"/>
      <c r="F512" s="85"/>
      <c r="G512" s="85"/>
      <c r="H512" s="85"/>
      <c r="I512" s="85"/>
      <c r="J512" s="85"/>
      <c r="K512" s="85"/>
      <c r="L512" s="85"/>
      <c r="M512" s="85"/>
      <c r="N512" s="85"/>
    </row>
    <row r="513" spans="1:14" x14ac:dyDescent="0.2">
      <c r="A513" s="6"/>
      <c r="B513" s="75"/>
      <c r="C513" s="6"/>
      <c r="D513" s="6"/>
      <c r="E513" s="6"/>
      <c r="F513" s="85"/>
      <c r="G513" s="85"/>
      <c r="H513" s="85"/>
      <c r="I513" s="85"/>
      <c r="J513" s="85"/>
      <c r="K513" s="85"/>
      <c r="L513" s="85"/>
      <c r="M513" s="85"/>
      <c r="N513" s="85"/>
    </row>
    <row r="514" spans="1:14" x14ac:dyDescent="0.2">
      <c r="A514" s="92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</row>
    <row r="515" spans="1:14" x14ac:dyDescent="0.2">
      <c r="A515" s="91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</row>
    <row r="516" spans="1:14" x14ac:dyDescent="0.2">
      <c r="A516" s="91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</row>
    <row r="517" spans="1:14" x14ac:dyDescent="0.2">
      <c r="A517" s="91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</row>
    <row r="518" spans="1:14" x14ac:dyDescent="0.2">
      <c r="A518" s="92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</row>
    <row r="519" spans="1:14" x14ac:dyDescent="0.2">
      <c r="A519" s="92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</row>
    <row r="520" spans="1:14" x14ac:dyDescent="0.2">
      <c r="A520" s="75"/>
      <c r="B520" s="6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85"/>
    </row>
    <row r="521" spans="1:14" x14ac:dyDescent="0.2">
      <c r="A521" s="75"/>
      <c r="B521" s="6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85"/>
    </row>
    <row r="522" spans="1:14" ht="15.75" customHeight="1" x14ac:dyDescent="0.2">
      <c r="A522" s="75"/>
      <c r="B522" s="6"/>
      <c r="C522" s="112"/>
      <c r="D522" s="112"/>
      <c r="E522" s="87"/>
      <c r="F522" s="87"/>
      <c r="G522" s="87"/>
      <c r="H522" s="87"/>
      <c r="I522" s="75"/>
      <c r="J522" s="75"/>
      <c r="K522" s="75"/>
      <c r="L522" s="75"/>
      <c r="M522" s="75"/>
      <c r="N522" s="85"/>
    </row>
    <row r="523" spans="1:14" ht="16.5" customHeight="1" x14ac:dyDescent="0.2">
      <c r="A523" s="75"/>
      <c r="B523" s="6"/>
      <c r="C523" s="6"/>
      <c r="D523" s="112"/>
      <c r="E523" s="75"/>
      <c r="F523" s="87"/>
      <c r="G523" s="87"/>
      <c r="H523" s="87"/>
      <c r="I523" s="75"/>
      <c r="J523" s="75"/>
      <c r="K523" s="75"/>
      <c r="L523" s="75"/>
      <c r="M523" s="75"/>
      <c r="N523" s="85"/>
    </row>
    <row r="524" spans="1:14" x14ac:dyDescent="0.2">
      <c r="A524" s="75"/>
      <c r="B524" s="75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85"/>
    </row>
    <row r="525" spans="1:14" x14ac:dyDescent="0.2">
      <c r="A525" s="96"/>
      <c r="B525" s="96"/>
      <c r="C525" s="96"/>
      <c r="D525" s="96"/>
      <c r="E525" s="96"/>
      <c r="F525" s="96"/>
      <c r="G525" s="96"/>
      <c r="H525" s="96"/>
      <c r="I525" s="96"/>
      <c r="J525" s="96"/>
      <c r="K525" s="96"/>
      <c r="L525" s="96"/>
      <c r="M525" s="96"/>
      <c r="N525" s="85"/>
    </row>
    <row r="526" spans="1:14" x14ac:dyDescent="0.2">
      <c r="A526" s="6"/>
      <c r="B526" s="75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85"/>
    </row>
    <row r="527" spans="1:14" x14ac:dyDescent="0.2">
      <c r="A527" s="6"/>
      <c r="B527" s="75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85"/>
    </row>
    <row r="528" spans="1:14" x14ac:dyDescent="0.2">
      <c r="A528" s="96"/>
      <c r="B528" s="96"/>
      <c r="C528" s="96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85"/>
    </row>
    <row r="529" spans="1:14" x14ac:dyDescent="0.2">
      <c r="A529" s="6"/>
      <c r="B529" s="75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85"/>
    </row>
    <row r="530" spans="1:14" x14ac:dyDescent="0.2">
      <c r="A530" s="6"/>
      <c r="B530" s="75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85"/>
    </row>
    <row r="531" spans="1:14" x14ac:dyDescent="0.2">
      <c r="A531" s="96"/>
      <c r="B531" s="96"/>
      <c r="C531" s="96"/>
      <c r="D531" s="96"/>
      <c r="E531" s="96"/>
      <c r="F531" s="96"/>
      <c r="G531" s="96"/>
      <c r="H531" s="96"/>
      <c r="I531" s="96"/>
      <c r="J531" s="96"/>
      <c r="K531" s="96"/>
      <c r="L531" s="96"/>
      <c r="M531" s="96"/>
      <c r="N531" s="85"/>
    </row>
    <row r="532" spans="1:14" x14ac:dyDescent="0.2">
      <c r="A532" s="6"/>
      <c r="B532" s="75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85"/>
    </row>
    <row r="533" spans="1:14" x14ac:dyDescent="0.2">
      <c r="A533" s="6"/>
      <c r="B533" s="75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85"/>
    </row>
    <row r="534" spans="1:14" x14ac:dyDescent="0.2">
      <c r="A534" s="91"/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</row>
    <row r="535" spans="1:14" x14ac:dyDescent="0.2">
      <c r="A535" s="92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</row>
    <row r="536" spans="1:14" x14ac:dyDescent="0.2">
      <c r="A536" s="92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</row>
    <row r="537" spans="1:14" x14ac:dyDescent="0.2">
      <c r="A537" s="92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</row>
    <row r="538" spans="1:14" x14ac:dyDescent="0.2">
      <c r="A538" s="92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</row>
    <row r="539" spans="1:14" x14ac:dyDescent="0.2">
      <c r="A539" s="92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</row>
    <row r="540" spans="1:14" x14ac:dyDescent="0.2">
      <c r="A540" s="92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</row>
    <row r="541" spans="1:14" x14ac:dyDescent="0.2">
      <c r="A541" s="92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</row>
    <row r="542" spans="1:14" x14ac:dyDescent="0.2">
      <c r="A542" s="92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</row>
    <row r="543" spans="1:14" x14ac:dyDescent="0.2">
      <c r="A543" s="92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</row>
    <row r="544" spans="1:14" x14ac:dyDescent="0.2">
      <c r="A544" s="92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</row>
    <row r="545" spans="1:14" x14ac:dyDescent="0.2">
      <c r="A545" s="92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</row>
    <row r="546" spans="1:14" x14ac:dyDescent="0.2">
      <c r="A546" s="92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</row>
    <row r="547" spans="1:14" x14ac:dyDescent="0.2">
      <c r="A547" s="92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</row>
    <row r="548" spans="1:14" x14ac:dyDescent="0.2">
      <c r="A548" s="92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</row>
    <row r="549" spans="1:14" x14ac:dyDescent="0.2">
      <c r="A549" s="92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</row>
    <row r="550" spans="1:14" x14ac:dyDescent="0.2">
      <c r="A550" s="92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</row>
    <row r="551" spans="1:14" x14ac:dyDescent="0.2">
      <c r="A551" s="92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</row>
    <row r="552" spans="1:14" x14ac:dyDescent="0.2">
      <c r="A552" s="92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</row>
    <row r="553" spans="1:14" x14ac:dyDescent="0.2">
      <c r="A553" s="92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</row>
    <row r="554" spans="1:14" x14ac:dyDescent="0.2">
      <c r="A554" s="92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</row>
    <row r="555" spans="1:14" ht="15.75" customHeight="1" x14ac:dyDescent="0.2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85"/>
      <c r="N555" s="85"/>
    </row>
    <row r="556" spans="1:14" x14ac:dyDescent="0.2">
      <c r="A556" s="75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85"/>
      <c r="N556" s="85"/>
    </row>
    <row r="557" spans="1:14" ht="15" customHeight="1" x14ac:dyDescent="0.2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85"/>
      <c r="N557" s="85"/>
    </row>
    <row r="558" spans="1:14" ht="15" customHeight="1" x14ac:dyDescent="0.2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85"/>
      <c r="N558" s="85"/>
    </row>
    <row r="559" spans="1:14" x14ac:dyDescent="0.2">
      <c r="A559" s="6"/>
      <c r="B559" s="75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85"/>
      <c r="N559" s="85"/>
    </row>
    <row r="560" spans="1:14" x14ac:dyDescent="0.2">
      <c r="A560" s="6"/>
      <c r="B560" s="75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85"/>
      <c r="N560" s="85"/>
    </row>
    <row r="561" spans="1:14" x14ac:dyDescent="0.2">
      <c r="A561" s="6"/>
      <c r="B561" s="75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85"/>
      <c r="N561" s="85"/>
    </row>
    <row r="562" spans="1:14" x14ac:dyDescent="0.2">
      <c r="A562" s="91"/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</row>
    <row r="563" spans="1:14" ht="18.75" customHeight="1" x14ac:dyDescent="0.2">
      <c r="A563" s="75"/>
      <c r="B563" s="75"/>
      <c r="C563" s="6"/>
      <c r="D563" s="6"/>
      <c r="E563" s="75"/>
      <c r="F563" s="75"/>
      <c r="G563" s="75"/>
      <c r="H563" s="75"/>
      <c r="I563" s="75"/>
      <c r="J563" s="75"/>
      <c r="K563" s="75"/>
      <c r="L563" s="75"/>
      <c r="M563" s="75"/>
      <c r="N563" s="75"/>
    </row>
    <row r="564" spans="1:14" x14ac:dyDescent="0.2">
      <c r="A564" s="75"/>
      <c r="B564" s="75"/>
      <c r="C564" s="75"/>
      <c r="D564" s="75"/>
      <c r="E564" s="75"/>
      <c r="F564" s="75"/>
      <c r="G564" s="75"/>
      <c r="H564" s="6"/>
      <c r="I564" s="75"/>
      <c r="J564" s="75"/>
      <c r="K564" s="75"/>
      <c r="L564" s="75"/>
      <c r="M564" s="75"/>
      <c r="N564" s="75"/>
    </row>
    <row r="565" spans="1:14" x14ac:dyDescent="0.2">
      <c r="A565" s="75"/>
      <c r="B565" s="75"/>
      <c r="C565" s="75"/>
      <c r="D565" s="75"/>
      <c r="E565" s="75"/>
      <c r="F565" s="75"/>
      <c r="G565" s="75"/>
      <c r="H565" s="111"/>
      <c r="I565" s="75"/>
      <c r="J565" s="75"/>
      <c r="K565" s="75"/>
      <c r="L565" s="75"/>
      <c r="M565" s="75"/>
      <c r="N565" s="75"/>
    </row>
    <row r="566" spans="1:14" x14ac:dyDescent="0.2">
      <c r="A566" s="6"/>
      <c r="B566" s="75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1:14" x14ac:dyDescent="0.2">
      <c r="A567" s="6"/>
      <c r="B567" s="75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1:14" x14ac:dyDescent="0.2">
      <c r="A568" s="6"/>
      <c r="B568" s="75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1:14" x14ac:dyDescent="0.2">
      <c r="A569" s="91"/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</row>
    <row r="570" spans="1:14" x14ac:dyDescent="0.2">
      <c r="A570" s="75"/>
      <c r="B570" s="75"/>
      <c r="C570" s="75"/>
      <c r="D570" s="75"/>
      <c r="E570" s="75"/>
      <c r="F570" s="6"/>
      <c r="G570" s="85"/>
      <c r="H570" s="85"/>
      <c r="I570" s="85"/>
      <c r="J570" s="85"/>
      <c r="K570" s="85"/>
      <c r="L570" s="85"/>
      <c r="M570" s="85"/>
      <c r="N570" s="85"/>
    </row>
    <row r="571" spans="1:14" x14ac:dyDescent="0.2">
      <c r="A571" s="75"/>
      <c r="B571" s="75"/>
      <c r="C571" s="75"/>
      <c r="D571" s="75"/>
      <c r="E571" s="75"/>
      <c r="F571" s="6"/>
      <c r="G571" s="85"/>
      <c r="H571" s="85"/>
      <c r="I571" s="85"/>
      <c r="J571" s="85"/>
      <c r="K571" s="85"/>
      <c r="L571" s="85"/>
      <c r="M571" s="85"/>
      <c r="N571" s="85"/>
    </row>
    <row r="572" spans="1:14" x14ac:dyDescent="0.2">
      <c r="A572" s="75"/>
      <c r="B572" s="75"/>
      <c r="C572" s="6"/>
      <c r="D572" s="6"/>
      <c r="E572" s="6"/>
      <c r="F572" s="75"/>
      <c r="G572" s="85"/>
      <c r="H572" s="85"/>
      <c r="I572" s="85"/>
      <c r="J572" s="85"/>
      <c r="K572" s="85"/>
      <c r="L572" s="85"/>
      <c r="M572" s="85"/>
      <c r="N572" s="85"/>
    </row>
    <row r="573" spans="1:14" x14ac:dyDescent="0.2">
      <c r="A573" s="6"/>
      <c r="B573" s="75"/>
      <c r="C573" s="6"/>
      <c r="D573" s="6"/>
      <c r="E573" s="6"/>
      <c r="F573" s="6"/>
      <c r="G573" s="85"/>
      <c r="H573" s="85"/>
      <c r="I573" s="85"/>
      <c r="J573" s="85"/>
      <c r="K573" s="85"/>
      <c r="L573" s="85"/>
      <c r="M573" s="85"/>
      <c r="N573" s="85"/>
    </row>
    <row r="574" spans="1:14" x14ac:dyDescent="0.2">
      <c r="A574" s="6"/>
      <c r="B574" s="75"/>
      <c r="C574" s="6"/>
      <c r="D574" s="6"/>
      <c r="E574" s="6"/>
      <c r="F574" s="6"/>
      <c r="G574" s="85"/>
      <c r="H574" s="85"/>
      <c r="I574" s="85"/>
      <c r="J574" s="85"/>
      <c r="K574" s="85"/>
      <c r="L574" s="85"/>
      <c r="M574" s="85"/>
      <c r="N574" s="85"/>
    </row>
    <row r="575" spans="1:14" x14ac:dyDescent="0.2">
      <c r="A575" s="6"/>
      <c r="B575" s="75"/>
      <c r="C575" s="6"/>
      <c r="D575" s="6"/>
      <c r="E575" s="6"/>
      <c r="F575" s="6"/>
      <c r="G575" s="85"/>
      <c r="H575" s="85"/>
      <c r="I575" s="85"/>
      <c r="J575" s="85"/>
      <c r="K575" s="85"/>
      <c r="L575" s="85"/>
      <c r="M575" s="85"/>
      <c r="N575" s="85"/>
    </row>
    <row r="576" spans="1:14" x14ac:dyDescent="0.2">
      <c r="A576" s="91"/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</row>
    <row r="577" spans="1:14" x14ac:dyDescent="0.2">
      <c r="A577" s="91"/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</row>
    <row r="578" spans="1:14" x14ac:dyDescent="0.2">
      <c r="A578" s="91"/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</row>
    <row r="579" spans="1:14" x14ac:dyDescent="0.2">
      <c r="A579" s="91"/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</row>
    <row r="580" spans="1:14" x14ac:dyDescent="0.2">
      <c r="A580" s="91"/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</row>
    <row r="581" spans="1:14" x14ac:dyDescent="0.2">
      <c r="A581" s="91"/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</row>
    <row r="582" spans="1:14" x14ac:dyDescent="0.2">
      <c r="A582" s="92"/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</row>
    <row r="583" spans="1:14" x14ac:dyDescent="0.2">
      <c r="A583" s="92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</row>
    <row r="584" spans="1:14" ht="15.75" customHeight="1" x14ac:dyDescent="0.2">
      <c r="A584" s="75"/>
      <c r="B584" s="6"/>
      <c r="C584" s="75"/>
      <c r="D584" s="75"/>
      <c r="E584" s="75"/>
      <c r="F584" s="85"/>
      <c r="G584" s="85"/>
      <c r="H584" s="85"/>
      <c r="I584" s="85"/>
      <c r="J584" s="85"/>
      <c r="K584" s="85"/>
      <c r="L584" s="85"/>
      <c r="M584" s="85"/>
      <c r="N584" s="85"/>
    </row>
    <row r="585" spans="1:14" x14ac:dyDescent="0.2">
      <c r="A585" s="75"/>
      <c r="B585" s="6"/>
      <c r="C585" s="75"/>
      <c r="D585" s="75"/>
      <c r="E585" s="87"/>
      <c r="F585" s="85"/>
      <c r="G585" s="85"/>
      <c r="H585" s="85"/>
      <c r="I585" s="85"/>
      <c r="J585" s="85"/>
      <c r="K585" s="85"/>
      <c r="L585" s="85"/>
      <c r="M585" s="85"/>
      <c r="N585" s="85"/>
    </row>
    <row r="586" spans="1:14" x14ac:dyDescent="0.2">
      <c r="A586" s="75"/>
      <c r="B586" s="75"/>
      <c r="C586" s="6"/>
      <c r="D586" s="6"/>
      <c r="E586" s="6"/>
      <c r="F586" s="85"/>
      <c r="G586" s="85"/>
      <c r="H586" s="85"/>
      <c r="I586" s="85"/>
      <c r="J586" s="85"/>
      <c r="K586" s="85"/>
      <c r="L586" s="85"/>
      <c r="M586" s="85"/>
      <c r="N586" s="85"/>
    </row>
    <row r="587" spans="1:14" x14ac:dyDescent="0.2">
      <c r="A587" s="6"/>
      <c r="B587" s="6"/>
      <c r="C587" s="6"/>
      <c r="D587" s="6"/>
      <c r="E587" s="6"/>
      <c r="F587" s="85"/>
      <c r="G587" s="85"/>
      <c r="H587" s="85"/>
      <c r="I587" s="85"/>
      <c r="J587" s="85"/>
      <c r="K587" s="85"/>
      <c r="L587" s="85"/>
      <c r="M587" s="85"/>
      <c r="N587" s="85"/>
    </row>
    <row r="588" spans="1:14" x14ac:dyDescent="0.2">
      <c r="A588" s="6"/>
      <c r="B588" s="75"/>
      <c r="C588" s="6"/>
      <c r="D588" s="6"/>
      <c r="E588" s="6"/>
      <c r="F588" s="85"/>
      <c r="G588" s="85"/>
      <c r="H588" s="85"/>
      <c r="I588" s="85"/>
      <c r="J588" s="85"/>
      <c r="K588" s="85"/>
      <c r="L588" s="85"/>
      <c r="M588" s="85"/>
      <c r="N588" s="85"/>
    </row>
    <row r="589" spans="1:14" x14ac:dyDescent="0.2">
      <c r="A589" s="6"/>
      <c r="B589" s="75"/>
      <c r="C589" s="6"/>
      <c r="D589" s="6"/>
      <c r="E589" s="6"/>
      <c r="F589" s="85"/>
      <c r="G589" s="85"/>
      <c r="H589" s="85"/>
      <c r="I589" s="85"/>
      <c r="J589" s="85"/>
      <c r="K589" s="85"/>
      <c r="L589" s="85"/>
      <c r="M589" s="85"/>
      <c r="N589" s="85"/>
    </row>
    <row r="590" spans="1:14" x14ac:dyDescent="0.2">
      <c r="A590" s="6"/>
      <c r="B590" s="75"/>
      <c r="C590" s="6"/>
      <c r="D590" s="6"/>
      <c r="E590" s="6"/>
      <c r="F590" s="85"/>
      <c r="G590" s="85"/>
      <c r="H590" s="85"/>
      <c r="I590" s="85"/>
      <c r="J590" s="85"/>
      <c r="K590" s="85"/>
      <c r="L590" s="85"/>
      <c r="M590" s="85"/>
      <c r="N590" s="85"/>
    </row>
    <row r="591" spans="1:14" x14ac:dyDescent="0.2">
      <c r="A591" s="91"/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</row>
    <row r="592" spans="1:14" x14ac:dyDescent="0.2">
      <c r="A592" s="75"/>
      <c r="B592" s="6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85"/>
    </row>
    <row r="593" spans="1:14" x14ac:dyDescent="0.2">
      <c r="A593" s="75"/>
      <c r="B593" s="6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85"/>
    </row>
    <row r="594" spans="1:14" ht="15.75" customHeight="1" x14ac:dyDescent="0.2">
      <c r="A594" s="75"/>
      <c r="B594" s="6"/>
      <c r="C594" s="112"/>
      <c r="D594" s="112"/>
      <c r="E594" s="87"/>
      <c r="F594" s="87"/>
      <c r="G594" s="87"/>
      <c r="H594" s="87"/>
      <c r="I594" s="75"/>
      <c r="J594" s="75"/>
      <c r="K594" s="75"/>
      <c r="L594" s="75"/>
      <c r="M594" s="75"/>
      <c r="N594" s="85"/>
    </row>
    <row r="595" spans="1:14" ht="16.5" customHeight="1" x14ac:dyDescent="0.2">
      <c r="A595" s="75"/>
      <c r="B595" s="6"/>
      <c r="C595" s="6"/>
      <c r="D595" s="112"/>
      <c r="E595" s="75"/>
      <c r="F595" s="87"/>
      <c r="G595" s="87"/>
      <c r="H595" s="87"/>
      <c r="I595" s="75"/>
      <c r="J595" s="75"/>
      <c r="K595" s="75"/>
      <c r="L595" s="75"/>
      <c r="M595" s="75"/>
      <c r="N595" s="85"/>
    </row>
    <row r="596" spans="1:14" x14ac:dyDescent="0.2">
      <c r="A596" s="75"/>
      <c r="B596" s="75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85"/>
    </row>
    <row r="597" spans="1:14" x14ac:dyDescent="0.2">
      <c r="A597" s="6"/>
      <c r="B597" s="75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85"/>
    </row>
    <row r="598" spans="1:14" x14ac:dyDescent="0.2">
      <c r="A598" s="6"/>
      <c r="B598" s="75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85"/>
    </row>
    <row r="599" spans="1:14" x14ac:dyDescent="0.2">
      <c r="A599" s="6"/>
      <c r="B599" s="75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85"/>
    </row>
    <row r="600" spans="1:14" x14ac:dyDescent="0.2">
      <c r="A600" s="92"/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</row>
    <row r="601" spans="1:14" ht="15.75" customHeight="1" x14ac:dyDescent="0.2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85"/>
      <c r="N601" s="85"/>
    </row>
    <row r="602" spans="1:14" x14ac:dyDescent="0.2">
      <c r="A602" s="75"/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85"/>
      <c r="N602" s="85"/>
    </row>
    <row r="603" spans="1:14" ht="15" customHeight="1" x14ac:dyDescent="0.2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85"/>
      <c r="N603" s="85"/>
    </row>
    <row r="604" spans="1:14" ht="15" customHeight="1" x14ac:dyDescent="0.2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85"/>
      <c r="N604" s="85"/>
    </row>
    <row r="605" spans="1:14" x14ac:dyDescent="0.2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85"/>
      <c r="N605" s="85"/>
    </row>
    <row r="606" spans="1:14" x14ac:dyDescent="0.2">
      <c r="A606" s="92"/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</row>
    <row r="607" spans="1:14" x14ac:dyDescent="0.2">
      <c r="A607" s="6"/>
      <c r="B607" s="75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85"/>
      <c r="N607" s="85"/>
    </row>
    <row r="608" spans="1:14" x14ac:dyDescent="0.2">
      <c r="A608" s="6"/>
      <c r="B608" s="75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85"/>
      <c r="N608" s="85"/>
    </row>
    <row r="609" spans="1:14" x14ac:dyDescent="0.2">
      <c r="A609" s="6"/>
      <c r="B609" s="75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85"/>
      <c r="N609" s="85"/>
    </row>
    <row r="610" spans="1:14" x14ac:dyDescent="0.2">
      <c r="A610" s="75"/>
      <c r="B610" s="75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85"/>
      <c r="N610" s="85"/>
    </row>
    <row r="611" spans="1:14" x14ac:dyDescent="0.2">
      <c r="A611" s="92"/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</row>
    <row r="612" spans="1:14" x14ac:dyDescent="0.2">
      <c r="A612" s="92"/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</row>
    <row r="613" spans="1:14" ht="15.75" customHeight="1" x14ac:dyDescent="0.2">
      <c r="A613" s="75"/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85"/>
      <c r="N613" s="85"/>
    </row>
    <row r="614" spans="1:14" x14ac:dyDescent="0.2">
      <c r="A614" s="75"/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85"/>
      <c r="N614" s="85"/>
    </row>
    <row r="615" spans="1:14" ht="15" customHeight="1" x14ac:dyDescent="0.2">
      <c r="A615" s="75"/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85"/>
      <c r="N615" s="85"/>
    </row>
    <row r="616" spans="1:14" ht="15" customHeight="1" x14ac:dyDescent="0.2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85"/>
      <c r="N616" s="85"/>
    </row>
    <row r="617" spans="1:14" x14ac:dyDescent="0.2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85"/>
      <c r="N617" s="85"/>
    </row>
    <row r="618" spans="1:14" x14ac:dyDescent="0.2">
      <c r="A618" s="92"/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</row>
    <row r="619" spans="1:14" x14ac:dyDescent="0.2">
      <c r="A619" s="6"/>
      <c r="B619" s="75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85"/>
      <c r="N619" s="85"/>
    </row>
    <row r="620" spans="1:14" x14ac:dyDescent="0.2">
      <c r="A620" s="6"/>
      <c r="B620" s="75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85"/>
      <c r="N620" s="85"/>
    </row>
    <row r="621" spans="1:14" x14ac:dyDescent="0.2">
      <c r="A621" s="6"/>
      <c r="B621" s="75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85"/>
      <c r="N621" s="85"/>
    </row>
    <row r="622" spans="1:14" x14ac:dyDescent="0.2">
      <c r="A622" s="75"/>
      <c r="B622" s="75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85"/>
      <c r="N622" s="85"/>
    </row>
    <row r="623" spans="1:14" x14ac:dyDescent="0.2">
      <c r="A623" s="92"/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</row>
    <row r="624" spans="1:14" x14ac:dyDescent="0.2">
      <c r="A624" s="6"/>
      <c r="B624" s="75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85"/>
      <c r="N624" s="85"/>
    </row>
    <row r="625" spans="1:14" x14ac:dyDescent="0.2">
      <c r="A625" s="6"/>
      <c r="B625" s="75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85"/>
      <c r="N625" s="85"/>
    </row>
    <row r="626" spans="1:14" x14ac:dyDescent="0.2">
      <c r="A626" s="6"/>
      <c r="B626" s="75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85"/>
      <c r="N626" s="85"/>
    </row>
    <row r="627" spans="1:14" x14ac:dyDescent="0.2">
      <c r="A627" s="75"/>
      <c r="B627" s="75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85"/>
      <c r="N627" s="85"/>
    </row>
    <row r="628" spans="1:14" x14ac:dyDescent="0.2">
      <c r="A628" s="92"/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</row>
    <row r="629" spans="1:14" ht="18.75" customHeight="1" x14ac:dyDescent="0.2">
      <c r="A629" s="75"/>
      <c r="B629" s="75"/>
      <c r="C629" s="6"/>
      <c r="D629" s="6"/>
      <c r="E629" s="75"/>
      <c r="F629" s="75"/>
      <c r="G629" s="75"/>
      <c r="H629" s="75"/>
      <c r="I629" s="75"/>
      <c r="J629" s="75"/>
      <c r="K629" s="75"/>
      <c r="L629" s="75"/>
      <c r="M629" s="75"/>
      <c r="N629" s="75"/>
    </row>
    <row r="630" spans="1:14" x14ac:dyDescent="0.2">
      <c r="A630" s="75"/>
      <c r="B630" s="75"/>
      <c r="C630" s="75"/>
      <c r="D630" s="75"/>
      <c r="E630" s="75"/>
      <c r="F630" s="75"/>
      <c r="G630" s="75"/>
      <c r="H630" s="6"/>
      <c r="I630" s="75"/>
      <c r="J630" s="75"/>
      <c r="K630" s="75"/>
      <c r="L630" s="75"/>
      <c r="M630" s="75"/>
      <c r="N630" s="75"/>
    </row>
    <row r="631" spans="1:14" x14ac:dyDescent="0.2">
      <c r="A631" s="75"/>
      <c r="B631" s="75"/>
      <c r="C631" s="75"/>
      <c r="D631" s="75"/>
      <c r="E631" s="75"/>
      <c r="F631" s="75"/>
      <c r="G631" s="75"/>
      <c r="H631" s="111"/>
      <c r="I631" s="75"/>
      <c r="J631" s="75"/>
      <c r="K631" s="75"/>
      <c r="L631" s="75"/>
      <c r="M631" s="75"/>
      <c r="N631" s="75"/>
    </row>
    <row r="632" spans="1:14" x14ac:dyDescent="0.2">
      <c r="A632" s="75"/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</row>
    <row r="633" spans="1:14" x14ac:dyDescent="0.2">
      <c r="A633" s="92"/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</row>
    <row r="634" spans="1:14" x14ac:dyDescent="0.2">
      <c r="A634" s="6"/>
      <c r="B634" s="75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</row>
    <row r="635" spans="1:14" x14ac:dyDescent="0.2">
      <c r="A635" s="6"/>
      <c r="B635" s="75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</row>
    <row r="636" spans="1:14" x14ac:dyDescent="0.2">
      <c r="A636" s="6"/>
      <c r="B636" s="75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</row>
    <row r="637" spans="1:14" x14ac:dyDescent="0.2">
      <c r="A637" s="92"/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</row>
    <row r="638" spans="1:14" x14ac:dyDescent="0.2">
      <c r="A638" s="6"/>
      <c r="B638" s="75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</row>
    <row r="639" spans="1:14" x14ac:dyDescent="0.2">
      <c r="A639" s="6"/>
      <c r="B639" s="75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1:14" x14ac:dyDescent="0.2">
      <c r="A640" s="6"/>
      <c r="B640" s="75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</row>
    <row r="641" spans="1:14" x14ac:dyDescent="0.2">
      <c r="A641" s="92"/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</row>
    <row r="642" spans="1:14" ht="18.75" customHeight="1" x14ac:dyDescent="0.2">
      <c r="A642" s="75"/>
      <c r="B642" s="75"/>
      <c r="C642" s="6"/>
      <c r="D642" s="6"/>
      <c r="E642" s="75"/>
      <c r="F642" s="75"/>
      <c r="G642" s="75"/>
      <c r="H642" s="75"/>
      <c r="I642" s="75"/>
      <c r="J642" s="75"/>
      <c r="K642" s="75"/>
      <c r="L642" s="75"/>
      <c r="M642" s="75"/>
      <c r="N642" s="75"/>
    </row>
    <row r="643" spans="1:14" x14ac:dyDescent="0.2">
      <c r="A643" s="75"/>
      <c r="B643" s="75"/>
      <c r="C643" s="75"/>
      <c r="D643" s="75"/>
      <c r="E643" s="75"/>
      <c r="F643" s="75"/>
      <c r="G643" s="75"/>
      <c r="H643" s="6"/>
      <c r="I643" s="75"/>
      <c r="J643" s="75"/>
      <c r="K643" s="75"/>
      <c r="L643" s="75"/>
      <c r="M643" s="75"/>
      <c r="N643" s="75"/>
    </row>
    <row r="644" spans="1:14" x14ac:dyDescent="0.2">
      <c r="A644" s="75"/>
      <c r="B644" s="75"/>
      <c r="C644" s="75"/>
      <c r="D644" s="75"/>
      <c r="E644" s="75"/>
      <c r="F644" s="75"/>
      <c r="G644" s="75"/>
      <c r="H644" s="111"/>
      <c r="I644" s="75"/>
      <c r="J644" s="75"/>
      <c r="K644" s="75"/>
      <c r="L644" s="75"/>
      <c r="M644" s="75"/>
      <c r="N644" s="75"/>
    </row>
    <row r="645" spans="1:14" x14ac:dyDescent="0.2">
      <c r="A645" s="75"/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</row>
    <row r="646" spans="1:14" x14ac:dyDescent="0.2">
      <c r="A646" s="92"/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</row>
    <row r="647" spans="1:14" x14ac:dyDescent="0.2">
      <c r="A647" s="6"/>
      <c r="B647" s="75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</row>
    <row r="648" spans="1:14" x14ac:dyDescent="0.2">
      <c r="A648" s="6"/>
      <c r="B648" s="75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</row>
    <row r="649" spans="1:14" x14ac:dyDescent="0.2">
      <c r="A649" s="6"/>
      <c r="B649" s="75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</row>
    <row r="650" spans="1:14" x14ac:dyDescent="0.2">
      <c r="A650" s="91"/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</row>
    <row r="651" spans="1:14" x14ac:dyDescent="0.2">
      <c r="A651" s="75"/>
      <c r="B651" s="75"/>
      <c r="C651" s="75"/>
      <c r="D651" s="75"/>
      <c r="E651" s="75"/>
      <c r="F651" s="6"/>
      <c r="G651" s="85"/>
      <c r="H651" s="85"/>
      <c r="I651" s="85"/>
      <c r="J651" s="85"/>
      <c r="K651" s="85"/>
      <c r="L651" s="85"/>
      <c r="M651" s="85"/>
      <c r="N651" s="85"/>
    </row>
    <row r="652" spans="1:14" x14ac:dyDescent="0.2">
      <c r="A652" s="75"/>
      <c r="B652" s="75"/>
      <c r="C652" s="75"/>
      <c r="D652" s="75"/>
      <c r="E652" s="75"/>
      <c r="F652" s="6"/>
      <c r="G652" s="85"/>
      <c r="H652" s="85"/>
      <c r="I652" s="85"/>
      <c r="J652" s="85"/>
      <c r="K652" s="85"/>
      <c r="L652" s="85"/>
      <c r="M652" s="85"/>
      <c r="N652" s="85"/>
    </row>
    <row r="653" spans="1:14" x14ac:dyDescent="0.2">
      <c r="A653" s="75"/>
      <c r="B653" s="75"/>
      <c r="C653" s="6"/>
      <c r="D653" s="6"/>
      <c r="E653" s="6"/>
      <c r="F653" s="75"/>
      <c r="G653" s="85"/>
      <c r="H653" s="85"/>
      <c r="I653" s="85"/>
      <c r="J653" s="85"/>
      <c r="K653" s="85"/>
      <c r="L653" s="85"/>
      <c r="M653" s="85"/>
      <c r="N653" s="85"/>
    </row>
    <row r="654" spans="1:14" x14ac:dyDescent="0.2">
      <c r="A654" s="75"/>
      <c r="B654" s="75"/>
      <c r="C654" s="75"/>
      <c r="D654" s="75"/>
      <c r="E654" s="75"/>
      <c r="F654" s="75"/>
      <c r="G654" s="85"/>
      <c r="H654" s="85"/>
      <c r="I654" s="85"/>
      <c r="J654" s="85"/>
      <c r="K654" s="85"/>
      <c r="L654" s="85"/>
      <c r="M654" s="85"/>
      <c r="N654" s="85"/>
    </row>
    <row r="655" spans="1:14" x14ac:dyDescent="0.2">
      <c r="A655" s="92"/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</row>
    <row r="656" spans="1:14" x14ac:dyDescent="0.2">
      <c r="A656" s="6"/>
      <c r="B656" s="75"/>
      <c r="C656" s="6"/>
      <c r="D656" s="6"/>
      <c r="E656" s="6"/>
      <c r="F656" s="6"/>
      <c r="G656" s="85"/>
      <c r="H656" s="85"/>
      <c r="I656" s="85"/>
      <c r="J656" s="85"/>
      <c r="K656" s="85"/>
      <c r="L656" s="85"/>
      <c r="M656" s="85"/>
      <c r="N656" s="85"/>
    </row>
    <row r="657" spans="1:14" x14ac:dyDescent="0.2">
      <c r="A657" s="6"/>
      <c r="B657" s="75"/>
      <c r="C657" s="6"/>
      <c r="D657" s="6"/>
      <c r="E657" s="6"/>
      <c r="F657" s="6"/>
      <c r="G657" s="85"/>
      <c r="H657" s="85"/>
      <c r="I657" s="85"/>
      <c r="J657" s="85"/>
      <c r="K657" s="85"/>
      <c r="L657" s="85"/>
      <c r="M657" s="85"/>
      <c r="N657" s="85"/>
    </row>
    <row r="658" spans="1:14" x14ac:dyDescent="0.2">
      <c r="A658" s="6"/>
      <c r="B658" s="75"/>
      <c r="C658" s="6"/>
      <c r="D658" s="6"/>
      <c r="E658" s="6"/>
      <c r="F658" s="6"/>
      <c r="G658" s="85"/>
      <c r="H658" s="85"/>
      <c r="I658" s="85"/>
      <c r="J658" s="85"/>
      <c r="K658" s="85"/>
      <c r="L658" s="85"/>
      <c r="M658" s="85"/>
      <c r="N658" s="85"/>
    </row>
    <row r="659" spans="1:14" x14ac:dyDescent="0.2">
      <c r="A659" s="92"/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</row>
    <row r="660" spans="1:14" x14ac:dyDescent="0.2">
      <c r="A660" s="6"/>
      <c r="B660" s="75"/>
      <c r="C660" s="6"/>
      <c r="D660" s="6"/>
      <c r="E660" s="6"/>
      <c r="F660" s="6"/>
      <c r="G660" s="85"/>
      <c r="H660" s="85"/>
      <c r="I660" s="85"/>
      <c r="J660" s="85"/>
      <c r="K660" s="85"/>
      <c r="L660" s="85"/>
      <c r="M660" s="85"/>
      <c r="N660" s="85"/>
    </row>
    <row r="661" spans="1:14" x14ac:dyDescent="0.2">
      <c r="A661" s="6"/>
      <c r="B661" s="75"/>
      <c r="C661" s="6"/>
      <c r="D661" s="6"/>
      <c r="E661" s="6"/>
      <c r="F661" s="6"/>
      <c r="G661" s="85"/>
      <c r="H661" s="85"/>
      <c r="I661" s="85"/>
      <c r="J661" s="85"/>
      <c r="K661" s="85"/>
      <c r="L661" s="85"/>
      <c r="M661" s="85"/>
      <c r="N661" s="85"/>
    </row>
    <row r="662" spans="1:14" x14ac:dyDescent="0.2">
      <c r="A662" s="6"/>
      <c r="B662" s="75"/>
      <c r="C662" s="6"/>
      <c r="D662" s="6"/>
      <c r="E662" s="6"/>
      <c r="F662" s="6"/>
      <c r="G662" s="85"/>
      <c r="H662" s="85"/>
      <c r="I662" s="85"/>
      <c r="J662" s="85"/>
      <c r="K662" s="85"/>
      <c r="L662" s="85"/>
      <c r="M662" s="85"/>
      <c r="N662" s="85"/>
    </row>
    <row r="663" spans="1:14" x14ac:dyDescent="0.2">
      <c r="A663" s="75"/>
      <c r="B663" s="75"/>
      <c r="C663" s="75"/>
      <c r="D663" s="75"/>
      <c r="E663" s="75"/>
      <c r="F663" s="75"/>
      <c r="G663" s="85"/>
      <c r="H663" s="85"/>
      <c r="I663" s="85"/>
      <c r="J663" s="85"/>
      <c r="K663" s="85"/>
      <c r="L663" s="85"/>
      <c r="M663" s="85"/>
      <c r="N663" s="85"/>
    </row>
    <row r="664" spans="1:14" x14ac:dyDescent="0.2">
      <c r="A664" s="92"/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5"/>
    </row>
    <row r="665" spans="1:14" x14ac:dyDescent="0.2">
      <c r="A665" s="6"/>
      <c r="B665" s="75"/>
      <c r="C665" s="6"/>
      <c r="D665" s="6"/>
      <c r="E665" s="6"/>
      <c r="F665" s="6"/>
      <c r="G665" s="85"/>
      <c r="H665" s="85"/>
      <c r="I665" s="85"/>
      <c r="J665" s="85"/>
      <c r="K665" s="85"/>
      <c r="L665" s="85"/>
      <c r="M665" s="85"/>
      <c r="N665" s="85"/>
    </row>
    <row r="666" spans="1:14" x14ac:dyDescent="0.2">
      <c r="A666" s="6"/>
      <c r="B666" s="75"/>
      <c r="C666" s="6"/>
      <c r="D666" s="6"/>
      <c r="E666" s="6"/>
      <c r="F666" s="6"/>
      <c r="G666" s="85"/>
      <c r="H666" s="85"/>
      <c r="I666" s="85"/>
      <c r="J666" s="85"/>
      <c r="K666" s="85"/>
      <c r="L666" s="85"/>
      <c r="M666" s="85"/>
      <c r="N666" s="85"/>
    </row>
    <row r="667" spans="1:14" x14ac:dyDescent="0.2">
      <c r="A667" s="6"/>
      <c r="B667" s="75"/>
      <c r="C667" s="6"/>
      <c r="D667" s="6"/>
      <c r="E667" s="6"/>
      <c r="F667" s="6"/>
      <c r="G667" s="85"/>
      <c r="H667" s="85"/>
      <c r="I667" s="85"/>
      <c r="J667" s="85"/>
      <c r="K667" s="85"/>
      <c r="L667" s="85"/>
      <c r="M667" s="85"/>
      <c r="N667" s="85"/>
    </row>
    <row r="668" spans="1:14" x14ac:dyDescent="0.2">
      <c r="A668" s="92"/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</row>
    <row r="669" spans="1:14" x14ac:dyDescent="0.2">
      <c r="A669" s="92"/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</row>
    <row r="670" spans="1:14" ht="15.75" customHeight="1" x14ac:dyDescent="0.2">
      <c r="A670" s="75"/>
      <c r="B670" s="6"/>
      <c r="C670" s="7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</row>
    <row r="671" spans="1:14" x14ac:dyDescent="0.2">
      <c r="A671" s="75"/>
      <c r="B671" s="6"/>
      <c r="C671" s="7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</row>
    <row r="672" spans="1:14" x14ac:dyDescent="0.2">
      <c r="A672" s="75"/>
      <c r="B672" s="75"/>
      <c r="C672" s="6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</row>
    <row r="673" spans="1:14" x14ac:dyDescent="0.2">
      <c r="A673" s="75"/>
      <c r="B673" s="75"/>
      <c r="C673" s="7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</row>
    <row r="674" spans="1:14" x14ac:dyDescent="0.2">
      <c r="A674" s="92"/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</row>
    <row r="675" spans="1:14" x14ac:dyDescent="0.2">
      <c r="A675" s="6"/>
      <c r="B675" s="6"/>
      <c r="C675" s="6"/>
      <c r="D675" s="6"/>
      <c r="E675" s="6"/>
      <c r="F675" s="85"/>
      <c r="G675" s="85"/>
      <c r="H675" s="85"/>
      <c r="I675" s="85"/>
      <c r="J675" s="85"/>
      <c r="K675" s="85"/>
      <c r="L675" s="85"/>
      <c r="M675" s="85"/>
      <c r="N675" s="85"/>
    </row>
    <row r="676" spans="1:14" x14ac:dyDescent="0.2">
      <c r="A676" s="6"/>
      <c r="B676" s="75"/>
      <c r="C676" s="6"/>
      <c r="D676" s="6"/>
      <c r="E676" s="6"/>
      <c r="F676" s="85"/>
      <c r="G676" s="85"/>
      <c r="H676" s="85"/>
      <c r="I676" s="85"/>
      <c r="J676" s="85"/>
      <c r="K676" s="85"/>
      <c r="L676" s="85"/>
      <c r="M676" s="85"/>
      <c r="N676" s="85"/>
    </row>
    <row r="677" spans="1:14" x14ac:dyDescent="0.2">
      <c r="A677" s="6"/>
      <c r="B677" s="75"/>
      <c r="C677" s="6"/>
      <c r="D677" s="6"/>
      <c r="E677" s="6"/>
      <c r="F677" s="85"/>
      <c r="G677" s="85"/>
      <c r="H677" s="85"/>
      <c r="I677" s="85"/>
      <c r="J677" s="85"/>
      <c r="K677" s="85"/>
      <c r="L677" s="85"/>
      <c r="M677" s="85"/>
      <c r="N677" s="85"/>
    </row>
    <row r="678" spans="1:14" x14ac:dyDescent="0.2">
      <c r="A678" s="6"/>
      <c r="B678" s="75"/>
      <c r="C678" s="6"/>
      <c r="D678" s="6"/>
      <c r="E678" s="6"/>
      <c r="F678" s="85"/>
      <c r="G678" s="85"/>
      <c r="H678" s="85"/>
      <c r="I678" s="85"/>
      <c r="J678" s="85"/>
      <c r="K678" s="85"/>
      <c r="L678" s="85"/>
      <c r="M678" s="85"/>
      <c r="N678" s="85"/>
    </row>
    <row r="679" spans="1:14" x14ac:dyDescent="0.2">
      <c r="A679" s="92"/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</row>
    <row r="680" spans="1:14" x14ac:dyDescent="0.2">
      <c r="A680" s="6"/>
      <c r="B680" s="6"/>
      <c r="C680" s="6"/>
      <c r="D680" s="6"/>
      <c r="E680" s="6"/>
      <c r="F680" s="85"/>
      <c r="G680" s="85"/>
      <c r="H680" s="85"/>
      <c r="I680" s="85"/>
      <c r="J680" s="85"/>
      <c r="K680" s="85"/>
      <c r="L680" s="85"/>
      <c r="M680" s="85"/>
      <c r="N680" s="85"/>
    </row>
    <row r="681" spans="1:14" x14ac:dyDescent="0.2">
      <c r="A681" s="6"/>
      <c r="B681" s="75"/>
      <c r="C681" s="6"/>
      <c r="D681" s="6"/>
      <c r="E681" s="6"/>
      <c r="F681" s="85"/>
      <c r="G681" s="85"/>
      <c r="H681" s="85"/>
      <c r="I681" s="85"/>
      <c r="J681" s="85"/>
      <c r="K681" s="85"/>
      <c r="L681" s="85"/>
      <c r="M681" s="85"/>
      <c r="N681" s="85"/>
    </row>
    <row r="682" spans="1:14" x14ac:dyDescent="0.2">
      <c r="A682" s="6"/>
      <c r="B682" s="75"/>
      <c r="C682" s="6"/>
      <c r="D682" s="6"/>
      <c r="E682" s="6"/>
      <c r="F682" s="85"/>
      <c r="G682" s="85"/>
      <c r="H682" s="85"/>
      <c r="I682" s="85"/>
      <c r="J682" s="85"/>
      <c r="K682" s="85"/>
      <c r="L682" s="85"/>
      <c r="M682" s="85"/>
      <c r="N682" s="85"/>
    </row>
    <row r="683" spans="1:14" x14ac:dyDescent="0.2">
      <c r="A683" s="6"/>
      <c r="B683" s="75"/>
      <c r="C683" s="6"/>
      <c r="D683" s="6"/>
      <c r="E683" s="6"/>
      <c r="F683" s="85"/>
      <c r="G683" s="85"/>
      <c r="H683" s="85"/>
      <c r="I683" s="85"/>
      <c r="J683" s="85"/>
      <c r="K683" s="85"/>
      <c r="L683" s="85"/>
      <c r="M683" s="85"/>
      <c r="N683" s="85"/>
    </row>
    <row r="684" spans="1:14" x14ac:dyDescent="0.2">
      <c r="A684" s="92"/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</row>
    <row r="685" spans="1:14" x14ac:dyDescent="0.2">
      <c r="A685" s="6"/>
      <c r="B685" s="6"/>
      <c r="C685" s="6"/>
      <c r="D685" s="6"/>
      <c r="E685" s="6"/>
      <c r="F685" s="85"/>
      <c r="G685" s="85"/>
      <c r="H685" s="85"/>
      <c r="I685" s="85"/>
      <c r="J685" s="85"/>
      <c r="K685" s="85"/>
      <c r="L685" s="85"/>
      <c r="M685" s="85"/>
      <c r="N685" s="85"/>
    </row>
    <row r="686" spans="1:14" x14ac:dyDescent="0.2">
      <c r="A686" s="6"/>
      <c r="B686" s="75"/>
      <c r="C686" s="6"/>
      <c r="D686" s="6"/>
      <c r="E686" s="6"/>
      <c r="F686" s="85"/>
      <c r="G686" s="85"/>
      <c r="H686" s="85"/>
      <c r="I686" s="85"/>
      <c r="J686" s="85"/>
      <c r="K686" s="85"/>
      <c r="L686" s="85"/>
      <c r="M686" s="85"/>
      <c r="N686" s="85"/>
    </row>
    <row r="687" spans="1:14" x14ac:dyDescent="0.2">
      <c r="A687" s="6"/>
      <c r="B687" s="75"/>
      <c r="C687" s="6"/>
      <c r="D687" s="6"/>
      <c r="E687" s="6"/>
      <c r="F687" s="85"/>
      <c r="G687" s="85"/>
      <c r="H687" s="85"/>
      <c r="I687" s="85"/>
      <c r="J687" s="85"/>
      <c r="K687" s="85"/>
      <c r="L687" s="85"/>
      <c r="M687" s="85"/>
      <c r="N687" s="85"/>
    </row>
    <row r="688" spans="1:14" x14ac:dyDescent="0.2">
      <c r="A688" s="6"/>
      <c r="B688" s="75"/>
      <c r="C688" s="6"/>
      <c r="D688" s="6"/>
      <c r="E688" s="6"/>
      <c r="F688" s="85"/>
      <c r="G688" s="85"/>
      <c r="H688" s="85"/>
      <c r="I688" s="85"/>
      <c r="J688" s="85"/>
      <c r="K688" s="85"/>
      <c r="L688" s="85"/>
      <c r="M688" s="85"/>
      <c r="N688" s="85"/>
    </row>
    <row r="689" spans="1:14" x14ac:dyDescent="0.2">
      <c r="A689" s="91"/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</row>
    <row r="690" spans="1:14" x14ac:dyDescent="0.2">
      <c r="A690" s="91"/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</row>
    <row r="691" spans="1:14" x14ac:dyDescent="0.2">
      <c r="A691" s="91"/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5"/>
    </row>
    <row r="692" spans="1:14" x14ac:dyDescent="0.2">
      <c r="A692" s="91"/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</row>
    <row r="693" spans="1:14" x14ac:dyDescent="0.2">
      <c r="A693" s="91"/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</row>
    <row r="694" spans="1:14" x14ac:dyDescent="0.2">
      <c r="A694" s="91"/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</row>
    <row r="695" spans="1:14" x14ac:dyDescent="0.2">
      <c r="A695" s="91"/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</row>
    <row r="696" spans="1:14" x14ac:dyDescent="0.2">
      <c r="A696" s="91"/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</row>
    <row r="697" spans="1:14" x14ac:dyDescent="0.2">
      <c r="A697" s="92"/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</row>
    <row r="698" spans="1:14" x14ac:dyDescent="0.2">
      <c r="A698" s="92"/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</row>
    <row r="699" spans="1:14" x14ac:dyDescent="0.2">
      <c r="A699" s="75"/>
      <c r="B699" s="6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85"/>
    </row>
    <row r="700" spans="1:14" x14ac:dyDescent="0.2">
      <c r="A700" s="75"/>
      <c r="B700" s="6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85"/>
    </row>
    <row r="701" spans="1:14" ht="15.75" customHeight="1" x14ac:dyDescent="0.2">
      <c r="A701" s="75"/>
      <c r="B701" s="6"/>
      <c r="C701" s="112"/>
      <c r="D701" s="112"/>
      <c r="E701" s="87"/>
      <c r="F701" s="87"/>
      <c r="G701" s="87"/>
      <c r="H701" s="87"/>
      <c r="I701" s="75"/>
      <c r="J701" s="75"/>
      <c r="K701" s="75"/>
      <c r="L701" s="75"/>
      <c r="M701" s="75"/>
      <c r="N701" s="85"/>
    </row>
    <row r="702" spans="1:14" ht="16.5" customHeight="1" x14ac:dyDescent="0.2">
      <c r="A702" s="75"/>
      <c r="B702" s="6"/>
      <c r="C702" s="6"/>
      <c r="D702" s="112"/>
      <c r="E702" s="75"/>
      <c r="F702" s="87"/>
      <c r="G702" s="87"/>
      <c r="H702" s="87"/>
      <c r="I702" s="75"/>
      <c r="J702" s="75"/>
      <c r="K702" s="75"/>
      <c r="L702" s="75"/>
      <c r="M702" s="75"/>
      <c r="N702" s="85"/>
    </row>
    <row r="703" spans="1:14" x14ac:dyDescent="0.2">
      <c r="A703" s="75"/>
      <c r="B703" s="75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85"/>
    </row>
    <row r="704" spans="1:14" x14ac:dyDescent="0.2">
      <c r="A704" s="75"/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85"/>
    </row>
    <row r="705" spans="1:14" x14ac:dyDescent="0.2">
      <c r="A705" s="92"/>
      <c r="B705" s="85"/>
      <c r="C705" s="85"/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85"/>
    </row>
    <row r="706" spans="1:14" x14ac:dyDescent="0.2">
      <c r="A706" s="6"/>
      <c r="B706" s="75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85"/>
    </row>
    <row r="707" spans="1:14" x14ac:dyDescent="0.2">
      <c r="A707" s="6"/>
      <c r="B707" s="75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85"/>
    </row>
    <row r="708" spans="1:14" x14ac:dyDescent="0.2">
      <c r="A708" s="6"/>
      <c r="B708" s="75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85"/>
    </row>
    <row r="709" spans="1:14" x14ac:dyDescent="0.2">
      <c r="A709" s="92"/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</row>
    <row r="710" spans="1:14" x14ac:dyDescent="0.2">
      <c r="A710" s="6"/>
      <c r="B710" s="75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85"/>
    </row>
    <row r="711" spans="1:14" x14ac:dyDescent="0.2">
      <c r="A711" s="6"/>
      <c r="B711" s="75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85"/>
    </row>
    <row r="712" spans="1:14" x14ac:dyDescent="0.2">
      <c r="A712" s="6"/>
      <c r="B712" s="75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85"/>
    </row>
    <row r="713" spans="1:14" x14ac:dyDescent="0.2">
      <c r="A713" s="92"/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</row>
    <row r="714" spans="1:14" x14ac:dyDescent="0.2">
      <c r="A714" s="6"/>
      <c r="B714" s="75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85"/>
    </row>
    <row r="715" spans="1:14" x14ac:dyDescent="0.2">
      <c r="A715" s="6"/>
      <c r="B715" s="75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85"/>
    </row>
    <row r="716" spans="1:14" x14ac:dyDescent="0.2">
      <c r="A716" s="6"/>
      <c r="B716" s="75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85"/>
    </row>
    <row r="717" spans="1:14" x14ac:dyDescent="0.2">
      <c r="A717" s="92"/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</row>
    <row r="718" spans="1:14" x14ac:dyDescent="0.2">
      <c r="A718" s="85"/>
      <c r="B718" s="85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</row>
    <row r="719" spans="1:14" x14ac:dyDescent="0.2">
      <c r="A719" s="85"/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85"/>
    </row>
    <row r="720" spans="1:14" x14ac:dyDescent="0.2">
      <c r="A720" s="85"/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</row>
    <row r="721" spans="1:14" x14ac:dyDescent="0.2">
      <c r="A721" s="85"/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85"/>
    </row>
    <row r="722" spans="1:14" x14ac:dyDescent="0.2">
      <c r="A722" s="85"/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</row>
    <row r="723" spans="1:14" x14ac:dyDescent="0.2">
      <c r="A723" s="85"/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</row>
    <row r="724" spans="1:14" x14ac:dyDescent="0.2">
      <c r="A724" s="85"/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</row>
    <row r="725" spans="1:14" x14ac:dyDescent="0.2">
      <c r="A725" s="85"/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</row>
    <row r="726" spans="1:14" x14ac:dyDescent="0.2">
      <c r="A726" s="85"/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</row>
    <row r="727" spans="1:14" x14ac:dyDescent="0.2">
      <c r="A727" s="85"/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</row>
    <row r="728" spans="1:14" x14ac:dyDescent="0.2">
      <c r="A728" s="85"/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</row>
    <row r="729" spans="1:14" x14ac:dyDescent="0.2">
      <c r="A729" s="85"/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</row>
    <row r="730" spans="1:14" x14ac:dyDescent="0.2">
      <c r="A730" s="85"/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</row>
    <row r="731" spans="1:14" x14ac:dyDescent="0.2">
      <c r="A731" s="85"/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</row>
    <row r="732" spans="1:14" x14ac:dyDescent="0.2">
      <c r="A732" s="85"/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</row>
    <row r="733" spans="1:14" x14ac:dyDescent="0.2">
      <c r="A733" s="85"/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</row>
    <row r="734" spans="1:14" x14ac:dyDescent="0.2">
      <c r="A734" s="85"/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</row>
    <row r="735" spans="1:14" x14ac:dyDescent="0.2">
      <c r="A735" s="85"/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</row>
    <row r="736" spans="1:14" x14ac:dyDescent="0.2">
      <c r="A736" s="85"/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</row>
    <row r="737" spans="1:14" x14ac:dyDescent="0.2">
      <c r="A737" s="85"/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</row>
    <row r="738" spans="1:14" x14ac:dyDescent="0.2">
      <c r="A738" s="85"/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</row>
    <row r="739" spans="1:14" x14ac:dyDescent="0.2">
      <c r="A739" s="85"/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</row>
    <row r="740" spans="1:14" x14ac:dyDescent="0.2">
      <c r="A740" s="85"/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</row>
    <row r="741" spans="1:14" x14ac:dyDescent="0.2">
      <c r="A741" s="85"/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</row>
    <row r="742" spans="1:14" x14ac:dyDescent="0.2">
      <c r="A742" s="85"/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</row>
    <row r="743" spans="1:14" x14ac:dyDescent="0.2">
      <c r="A743" s="85"/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</row>
    <row r="744" spans="1:14" x14ac:dyDescent="0.2">
      <c r="A744" s="85"/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</row>
    <row r="745" spans="1:14" x14ac:dyDescent="0.2">
      <c r="A745" s="85"/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</row>
    <row r="746" spans="1:14" x14ac:dyDescent="0.2">
      <c r="A746" s="85"/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</row>
    <row r="747" spans="1:14" x14ac:dyDescent="0.2">
      <c r="A747" s="85"/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</row>
    <row r="748" spans="1:14" x14ac:dyDescent="0.2">
      <c r="A748" s="85"/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</row>
    <row r="749" spans="1:14" x14ac:dyDescent="0.2">
      <c r="A749" s="85"/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</row>
    <row r="750" spans="1:14" x14ac:dyDescent="0.2">
      <c r="A750" s="85"/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</row>
    <row r="751" spans="1:14" x14ac:dyDescent="0.2">
      <c r="A751" s="85"/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</row>
    <row r="752" spans="1:14" x14ac:dyDescent="0.2">
      <c r="A752" s="85"/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</row>
    <row r="753" spans="1:14" x14ac:dyDescent="0.2">
      <c r="A753" s="85"/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</row>
    <row r="754" spans="1:14" x14ac:dyDescent="0.2">
      <c r="A754" s="85"/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</row>
    <row r="755" spans="1:14" x14ac:dyDescent="0.2">
      <c r="A755" s="85"/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</row>
    <row r="756" spans="1:14" x14ac:dyDescent="0.2">
      <c r="A756" s="85"/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</row>
    <row r="757" spans="1:14" x14ac:dyDescent="0.2">
      <c r="A757" s="85"/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</row>
    <row r="758" spans="1:14" x14ac:dyDescent="0.2">
      <c r="A758" s="85"/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</row>
    <row r="759" spans="1:14" x14ac:dyDescent="0.2">
      <c r="A759" s="85"/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</row>
    <row r="760" spans="1:14" x14ac:dyDescent="0.2">
      <c r="A760" s="85"/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</row>
    <row r="761" spans="1:14" x14ac:dyDescent="0.2">
      <c r="A761" s="85"/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</row>
    <row r="762" spans="1:14" x14ac:dyDescent="0.2">
      <c r="A762" s="85"/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</row>
    <row r="763" spans="1:14" x14ac:dyDescent="0.2">
      <c r="A763" s="85"/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</row>
    <row r="764" spans="1:14" x14ac:dyDescent="0.2">
      <c r="A764" s="85"/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</row>
    <row r="765" spans="1:14" x14ac:dyDescent="0.2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</row>
    <row r="766" spans="1:14" x14ac:dyDescent="0.2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</row>
  </sheetData>
  <mergeCells count="41">
    <mergeCell ref="A15:E15"/>
    <mergeCell ref="K7:K10"/>
    <mergeCell ref="A19:E19"/>
    <mergeCell ref="AA7:AA10"/>
    <mergeCell ref="AB7:AB10"/>
    <mergeCell ref="C7:C10"/>
    <mergeCell ref="D7:D10"/>
    <mergeCell ref="G7:G10"/>
    <mergeCell ref="H7:H10"/>
    <mergeCell ref="W7:Z7"/>
    <mergeCell ref="S9:T9"/>
    <mergeCell ref="AC7:AC10"/>
    <mergeCell ref="Y9:Z9"/>
    <mergeCell ref="O7:P8"/>
    <mergeCell ref="N9:N10"/>
    <mergeCell ref="Q8:R8"/>
    <mergeCell ref="I9:I10"/>
    <mergeCell ref="J9:J10"/>
    <mergeCell ref="M9:M10"/>
    <mergeCell ref="I7:J8"/>
    <mergeCell ref="M7:N8"/>
    <mergeCell ref="E9:E10"/>
    <mergeCell ref="L7:L10"/>
    <mergeCell ref="AF7:AF10"/>
    <mergeCell ref="S8:T8"/>
    <mergeCell ref="U8:V8"/>
    <mergeCell ref="W8:X8"/>
    <mergeCell ref="Y8:Z8"/>
    <mergeCell ref="Q7:V7"/>
    <mergeCell ref="AE7:AE10"/>
    <mergeCell ref="AD7:AD10"/>
    <mergeCell ref="F9:F10"/>
    <mergeCell ref="W9:X9"/>
    <mergeCell ref="B7:B10"/>
    <mergeCell ref="Q9:R9"/>
    <mergeCell ref="A11:F11"/>
    <mergeCell ref="U9:V9"/>
    <mergeCell ref="A7:A10"/>
    <mergeCell ref="O9:O10"/>
    <mergeCell ref="P9:P10"/>
    <mergeCell ref="E7:F8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E34" sqref="E34"/>
    </sheetView>
  </sheetViews>
  <sheetFormatPr defaultRowHeight="14.25" x14ac:dyDescent="0.2"/>
  <cols>
    <col min="1" max="1" width="3.140625" style="3" customWidth="1"/>
    <col min="2" max="2" width="20.7109375" style="3" customWidth="1"/>
    <col min="3" max="3" width="9.5703125" style="3" customWidth="1"/>
    <col min="4" max="4" width="9.42578125" style="3" customWidth="1"/>
    <col min="5" max="6" width="8.140625" style="3" customWidth="1"/>
    <col min="7" max="8" width="8" style="3" customWidth="1"/>
    <col min="9" max="9" width="8.28515625" style="3" customWidth="1"/>
    <col min="10" max="10" width="12" style="3" customWidth="1"/>
    <col min="11" max="11" width="12.5703125" style="3" customWidth="1"/>
    <col min="12" max="12" width="9.5703125" style="3" customWidth="1"/>
    <col min="13" max="13" width="10.140625" style="3" customWidth="1"/>
    <col min="14" max="14" width="12.85546875" style="3" customWidth="1"/>
    <col min="15" max="15" width="11" style="3" customWidth="1"/>
    <col min="16" max="16" width="9.140625" style="3"/>
    <col min="17" max="17" width="11.85546875" style="3" customWidth="1"/>
    <col min="18" max="16384" width="9.140625" style="3"/>
  </cols>
  <sheetData>
    <row r="1" spans="1:18" ht="19.5" x14ac:dyDescent="0.2">
      <c r="A1" s="172"/>
      <c r="B1" s="172"/>
      <c r="C1" s="172"/>
      <c r="D1" s="172"/>
      <c r="E1" s="172"/>
      <c r="F1" s="173"/>
      <c r="G1" s="173"/>
      <c r="H1" s="173"/>
      <c r="I1" s="173"/>
      <c r="J1" s="173"/>
      <c r="K1" s="173"/>
      <c r="L1" s="173"/>
      <c r="M1" s="173"/>
    </row>
    <row r="2" spans="1:18" ht="18" x14ac:dyDescent="0.2">
      <c r="A2" s="23"/>
      <c r="B2" s="23"/>
      <c r="C2" s="22" t="s">
        <v>217</v>
      </c>
      <c r="D2" s="23"/>
      <c r="E2" s="23"/>
      <c r="F2" s="27"/>
      <c r="G2" s="27"/>
    </row>
    <row r="3" spans="1:18" ht="15" x14ac:dyDescent="0.2">
      <c r="A3" s="24" t="s">
        <v>175</v>
      </c>
    </row>
    <row r="4" spans="1:18" ht="8.25" customHeight="1" x14ac:dyDescent="0.2">
      <c r="A4" s="24"/>
    </row>
    <row r="5" spans="1:18" s="4" customFormat="1" ht="27.75" customHeight="1" x14ac:dyDescent="0.2">
      <c r="A5" s="171" t="s">
        <v>28</v>
      </c>
      <c r="B5" s="171" t="s">
        <v>0</v>
      </c>
      <c r="C5" s="171" t="s">
        <v>174</v>
      </c>
      <c r="D5" s="171" t="s">
        <v>171</v>
      </c>
      <c r="E5" s="171" t="s">
        <v>31</v>
      </c>
      <c r="F5" s="171"/>
      <c r="G5" s="171" t="s">
        <v>32</v>
      </c>
      <c r="H5" s="171"/>
      <c r="I5" s="171" t="s">
        <v>172</v>
      </c>
      <c r="J5" s="171"/>
      <c r="K5" s="171" t="s">
        <v>173</v>
      </c>
      <c r="L5" s="171"/>
      <c r="M5" s="177" t="s">
        <v>30</v>
      </c>
      <c r="N5" s="178" t="s">
        <v>176</v>
      </c>
      <c r="O5" s="178" t="s">
        <v>177</v>
      </c>
      <c r="P5" s="178" t="s">
        <v>179</v>
      </c>
      <c r="Q5" s="171" t="s">
        <v>33</v>
      </c>
      <c r="R5" s="176"/>
    </row>
    <row r="6" spans="1:18" s="4" customFormat="1" ht="15" customHeight="1" x14ac:dyDescent="0.2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7"/>
      <c r="N6" s="179"/>
      <c r="O6" s="179"/>
      <c r="P6" s="179"/>
      <c r="Q6" s="171"/>
      <c r="R6" s="176"/>
    </row>
    <row r="7" spans="1:18" s="4" customFormat="1" ht="15" customHeight="1" x14ac:dyDescent="0.2">
      <c r="A7" s="171"/>
      <c r="B7" s="171"/>
      <c r="C7" s="171" t="s">
        <v>15</v>
      </c>
      <c r="D7" s="171" t="s">
        <v>170</v>
      </c>
      <c r="E7" s="171" t="s">
        <v>15</v>
      </c>
      <c r="F7" s="171" t="s">
        <v>1</v>
      </c>
      <c r="G7" s="175" t="s">
        <v>15</v>
      </c>
      <c r="H7" s="171" t="s">
        <v>6</v>
      </c>
      <c r="I7" s="171" t="s">
        <v>47</v>
      </c>
      <c r="J7" s="171" t="s">
        <v>6</v>
      </c>
      <c r="K7" s="171" t="s">
        <v>47</v>
      </c>
      <c r="L7" s="171" t="s">
        <v>6</v>
      </c>
      <c r="M7" s="177"/>
      <c r="N7" s="180" t="s">
        <v>170</v>
      </c>
      <c r="O7" s="180" t="s">
        <v>178</v>
      </c>
      <c r="P7" s="180" t="s">
        <v>180</v>
      </c>
      <c r="Q7" s="171"/>
      <c r="R7" s="176"/>
    </row>
    <row r="8" spans="1:18" s="4" customFormat="1" ht="15" customHeight="1" x14ac:dyDescent="0.2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7"/>
      <c r="N8" s="179"/>
      <c r="O8" s="179"/>
      <c r="P8" s="179"/>
      <c r="Q8" s="171"/>
      <c r="R8" s="176"/>
    </row>
    <row r="9" spans="1:18" s="30" customFormat="1" x14ac:dyDescent="0.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138"/>
      <c r="N9" s="28"/>
      <c r="O9" s="29"/>
      <c r="P9" s="29"/>
      <c r="Q9" s="29"/>
      <c r="R9" s="29"/>
    </row>
    <row r="10" spans="1:18" s="4" customFormat="1" ht="12.75" x14ac:dyDescent="0.2">
      <c r="A10" s="51" t="s">
        <v>221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139"/>
      <c r="N10" s="31"/>
      <c r="O10" s="32"/>
      <c r="P10" s="29"/>
      <c r="Q10" s="29"/>
      <c r="R10" s="29"/>
    </row>
    <row r="11" spans="1:18" s="45" customFormat="1" ht="16.5" customHeight="1" x14ac:dyDescent="0.2">
      <c r="A11" s="39">
        <v>1</v>
      </c>
      <c r="B11" s="40" t="s">
        <v>225</v>
      </c>
      <c r="C11" s="41">
        <v>38.369999999999997</v>
      </c>
      <c r="D11" s="41">
        <f>(N11*C11)/100</f>
        <v>20.025302999999997</v>
      </c>
      <c r="E11" s="42">
        <v>100</v>
      </c>
      <c r="F11" s="42">
        <v>5</v>
      </c>
      <c r="G11" s="69">
        <v>5.8</v>
      </c>
      <c r="H11" s="42">
        <v>3</v>
      </c>
      <c r="I11" s="41">
        <v>36.92</v>
      </c>
      <c r="J11" s="42">
        <v>8</v>
      </c>
      <c r="K11" s="41">
        <v>19.11</v>
      </c>
      <c r="L11" s="42">
        <v>9</v>
      </c>
      <c r="M11" s="140">
        <f>(F11+H11+J11+L11)</f>
        <v>25</v>
      </c>
      <c r="N11" s="43">
        <v>52.19</v>
      </c>
      <c r="O11" s="39">
        <v>241</v>
      </c>
      <c r="P11" s="44">
        <v>1</v>
      </c>
      <c r="Q11" s="39">
        <v>105</v>
      </c>
      <c r="R11" s="33"/>
    </row>
    <row r="12" spans="1:18" s="4" customFormat="1" ht="18" customHeight="1" x14ac:dyDescent="0.2">
      <c r="A12" s="38">
        <v>2</v>
      </c>
      <c r="B12" s="46" t="s">
        <v>167</v>
      </c>
      <c r="C12" s="47">
        <v>41.12</v>
      </c>
      <c r="D12" s="41">
        <f>(N12*C12)/100</f>
        <v>21.308384</v>
      </c>
      <c r="E12" s="42">
        <f>(E11*D12)/D11</f>
        <v>106.40729880591572</v>
      </c>
      <c r="F12" s="42">
        <v>6</v>
      </c>
      <c r="G12" s="70">
        <v>6.49</v>
      </c>
      <c r="H12" s="42">
        <v>4</v>
      </c>
      <c r="I12" s="41">
        <v>42.15</v>
      </c>
      <c r="J12" s="42">
        <v>4</v>
      </c>
      <c r="K12" s="41">
        <v>21.81</v>
      </c>
      <c r="L12" s="42">
        <v>9</v>
      </c>
      <c r="M12" s="140">
        <f>(F12+H12+J12+L12)</f>
        <v>23</v>
      </c>
      <c r="N12" s="43">
        <v>51.82</v>
      </c>
      <c r="O12" s="38">
        <v>254</v>
      </c>
      <c r="P12" s="48">
        <v>1</v>
      </c>
      <c r="Q12" s="38">
        <v>101</v>
      </c>
      <c r="R12" s="29"/>
    </row>
    <row r="13" spans="1:18" s="4" customFormat="1" ht="18" customHeight="1" x14ac:dyDescent="0.2">
      <c r="A13" s="38">
        <v>3</v>
      </c>
      <c r="B13" s="46" t="s">
        <v>168</v>
      </c>
      <c r="C13" s="47">
        <v>36.4</v>
      </c>
      <c r="D13" s="41">
        <f>(N13*C13)/100</f>
        <v>18.778759999999998</v>
      </c>
      <c r="E13" s="42">
        <f>(D13*E11)/D11</f>
        <v>93.775160355875769</v>
      </c>
      <c r="F13" s="42">
        <v>4</v>
      </c>
      <c r="G13" s="70">
        <v>6.41</v>
      </c>
      <c r="H13" s="42">
        <v>4</v>
      </c>
      <c r="I13" s="41">
        <v>39.229999999999997</v>
      </c>
      <c r="J13" s="42">
        <v>6</v>
      </c>
      <c r="K13" s="41">
        <v>20.71</v>
      </c>
      <c r="L13" s="42">
        <v>9</v>
      </c>
      <c r="M13" s="140">
        <f>(F13+H13+J13+L13)</f>
        <v>23</v>
      </c>
      <c r="N13" s="43">
        <v>51.59</v>
      </c>
      <c r="O13" s="38">
        <v>231</v>
      </c>
      <c r="P13" s="48">
        <v>1</v>
      </c>
      <c r="Q13" s="38">
        <v>111</v>
      </c>
      <c r="R13" s="29"/>
    </row>
    <row r="14" spans="1:18" s="4" customFormat="1" ht="12.75" x14ac:dyDescent="0.2">
      <c r="A14" s="39">
        <v>4</v>
      </c>
      <c r="B14" s="49" t="s">
        <v>169</v>
      </c>
      <c r="C14" s="50">
        <v>38.119999999999997</v>
      </c>
      <c r="D14" s="41">
        <f>(N14*C14)/100</f>
        <v>21.572108</v>
      </c>
      <c r="E14" s="42">
        <f>(D14*E11)/D11</f>
        <v>107.724252661745</v>
      </c>
      <c r="F14" s="42">
        <v>6</v>
      </c>
      <c r="G14" s="70">
        <v>8.15</v>
      </c>
      <c r="H14" s="42">
        <v>6</v>
      </c>
      <c r="I14" s="41">
        <v>37.96</v>
      </c>
      <c r="J14" s="42">
        <v>8</v>
      </c>
      <c r="K14" s="41">
        <v>20.58</v>
      </c>
      <c r="L14" s="42">
        <v>9</v>
      </c>
      <c r="M14" s="140">
        <f>(F14+H14+J14+L14)</f>
        <v>29</v>
      </c>
      <c r="N14" s="43">
        <v>56.59</v>
      </c>
      <c r="O14" s="38">
        <v>244</v>
      </c>
      <c r="P14" s="48">
        <v>1</v>
      </c>
      <c r="Q14" s="38">
        <v>111</v>
      </c>
      <c r="R14" s="29"/>
    </row>
    <row r="15" spans="1:18" s="30" customFormat="1" ht="15" x14ac:dyDescent="0.2">
      <c r="A15" s="174"/>
      <c r="B15" s="174"/>
      <c r="C15" s="34"/>
      <c r="D15" s="34"/>
      <c r="E15" s="35"/>
      <c r="F15" s="35"/>
      <c r="G15" s="35"/>
      <c r="H15" s="36"/>
      <c r="I15" s="36"/>
      <c r="J15" s="36"/>
      <c r="K15" s="36"/>
      <c r="L15" s="36"/>
      <c r="M15" s="141"/>
      <c r="N15" s="37"/>
      <c r="O15" s="29"/>
      <c r="P15" s="29"/>
      <c r="Q15" s="29"/>
      <c r="R15" s="29"/>
    </row>
    <row r="16" spans="1:18" s="4" customFormat="1" ht="12.75" x14ac:dyDescent="0.2">
      <c r="A16" s="51" t="s">
        <v>120</v>
      </c>
      <c r="B16" s="31"/>
      <c r="C16" s="61"/>
      <c r="D16" s="62"/>
      <c r="E16" s="63"/>
      <c r="F16" s="63"/>
      <c r="G16" s="63"/>
      <c r="H16" s="64"/>
      <c r="I16" s="64"/>
      <c r="J16" s="64"/>
      <c r="K16" s="64"/>
      <c r="L16" s="64"/>
      <c r="M16" s="142"/>
      <c r="N16" s="65"/>
      <c r="O16" s="66"/>
      <c r="P16" s="66"/>
      <c r="Q16" s="66"/>
      <c r="R16" s="29"/>
    </row>
    <row r="17" spans="1:18" s="45" customFormat="1" ht="16.5" customHeight="1" x14ac:dyDescent="0.2">
      <c r="A17" s="39">
        <v>1</v>
      </c>
      <c r="B17" s="40" t="s">
        <v>225</v>
      </c>
      <c r="C17" s="58">
        <v>40.79</v>
      </c>
      <c r="D17" s="41">
        <f>(N17*C17)/100</f>
        <v>19.905519999999999</v>
      </c>
      <c r="E17" s="58">
        <v>100</v>
      </c>
      <c r="F17" s="58">
        <v>5</v>
      </c>
      <c r="G17" s="69">
        <v>7.07</v>
      </c>
      <c r="H17" s="42">
        <v>5</v>
      </c>
      <c r="I17" s="41">
        <v>41.46</v>
      </c>
      <c r="J17" s="42">
        <v>6</v>
      </c>
      <c r="K17" s="41">
        <v>20.41</v>
      </c>
      <c r="L17" s="42">
        <v>9</v>
      </c>
      <c r="M17" s="140">
        <f>(F17+H17+J17+L17)</f>
        <v>25</v>
      </c>
      <c r="N17" s="67">
        <v>48.8</v>
      </c>
      <c r="O17" s="39">
        <v>215</v>
      </c>
      <c r="P17" s="44">
        <v>2</v>
      </c>
      <c r="Q17" s="39">
        <v>123</v>
      </c>
      <c r="R17" s="52"/>
    </row>
    <row r="18" spans="1:18" s="4" customFormat="1" ht="16.5" customHeight="1" x14ac:dyDescent="0.2">
      <c r="A18" s="38">
        <v>2</v>
      </c>
      <c r="B18" s="46" t="s">
        <v>167</v>
      </c>
      <c r="C18" s="58">
        <v>41.93</v>
      </c>
      <c r="D18" s="41">
        <f>(N18*C18)/100</f>
        <v>19.271028000000001</v>
      </c>
      <c r="E18" s="42">
        <f>(D18*E17)/D17</f>
        <v>96.812482165751021</v>
      </c>
      <c r="F18" s="58">
        <v>5</v>
      </c>
      <c r="G18" s="70">
        <v>8.08</v>
      </c>
      <c r="H18" s="42">
        <v>6</v>
      </c>
      <c r="I18" s="41">
        <v>36.619999999999997</v>
      </c>
      <c r="J18" s="42">
        <v>8</v>
      </c>
      <c r="K18" s="41">
        <v>16.88</v>
      </c>
      <c r="L18" s="42">
        <v>9</v>
      </c>
      <c r="M18" s="140">
        <f>(F18+H18+J18+L18)</f>
        <v>28</v>
      </c>
      <c r="N18" s="68">
        <v>45.96</v>
      </c>
      <c r="O18" s="39">
        <v>197</v>
      </c>
      <c r="P18" s="48">
        <v>2</v>
      </c>
      <c r="Q18" s="38">
        <v>116</v>
      </c>
      <c r="R18" s="25"/>
    </row>
    <row r="19" spans="1:18" s="4" customFormat="1" ht="16.5" customHeight="1" x14ac:dyDescent="0.2">
      <c r="A19" s="38">
        <v>3</v>
      </c>
      <c r="B19" s="46" t="s">
        <v>168</v>
      </c>
      <c r="C19" s="58">
        <v>41.14</v>
      </c>
      <c r="D19" s="41">
        <f>(N19*C19)/100</f>
        <v>20.602912</v>
      </c>
      <c r="E19" s="42">
        <f>(D19*E17)/D17</f>
        <v>103.50351058399882</v>
      </c>
      <c r="F19" s="58">
        <v>5</v>
      </c>
      <c r="G19" s="70">
        <v>8.7100000000000009</v>
      </c>
      <c r="H19" s="42">
        <v>6</v>
      </c>
      <c r="I19" s="41">
        <v>36.58</v>
      </c>
      <c r="J19" s="42">
        <v>8</v>
      </c>
      <c r="K19" s="41">
        <v>19.260000000000002</v>
      </c>
      <c r="L19" s="42">
        <v>9</v>
      </c>
      <c r="M19" s="140">
        <f>(F19+H19+J19+L19)</f>
        <v>28</v>
      </c>
      <c r="N19" s="68">
        <v>50.08</v>
      </c>
      <c r="O19" s="39">
        <v>199</v>
      </c>
      <c r="P19" s="48">
        <v>2</v>
      </c>
      <c r="Q19" s="38">
        <v>123</v>
      </c>
      <c r="R19" s="25"/>
    </row>
    <row r="20" spans="1:18" s="4" customFormat="1" ht="16.5" customHeight="1" x14ac:dyDescent="0.2">
      <c r="A20" s="39">
        <v>4</v>
      </c>
      <c r="B20" s="49" t="s">
        <v>169</v>
      </c>
      <c r="C20" s="58">
        <v>39.21</v>
      </c>
      <c r="D20" s="41">
        <f>(N20*C20)/100</f>
        <v>21.189083999999998</v>
      </c>
      <c r="E20" s="42">
        <f>(D20*E17)/D17</f>
        <v>106.44828168266892</v>
      </c>
      <c r="F20" s="58">
        <v>6</v>
      </c>
      <c r="G20" s="70">
        <v>8.86</v>
      </c>
      <c r="H20" s="42">
        <v>6</v>
      </c>
      <c r="I20" s="41">
        <v>40.71</v>
      </c>
      <c r="J20" s="42">
        <v>6</v>
      </c>
      <c r="K20" s="41">
        <v>19.98</v>
      </c>
      <c r="L20" s="42">
        <v>9</v>
      </c>
      <c r="M20" s="140">
        <f>(F20+H20+J20+L20)</f>
        <v>27</v>
      </c>
      <c r="N20" s="68">
        <v>54.04</v>
      </c>
      <c r="O20" s="39">
        <v>207</v>
      </c>
      <c r="P20" s="48">
        <v>2</v>
      </c>
      <c r="Q20" s="38">
        <v>123</v>
      </c>
      <c r="R20" s="25"/>
    </row>
    <row r="21" spans="1:18" s="57" customFormat="1" ht="12.75" x14ac:dyDescent="0.2">
      <c r="A21" s="170"/>
      <c r="B21" s="170"/>
      <c r="C21" s="53"/>
      <c r="D21" s="53"/>
      <c r="E21" s="54"/>
      <c r="F21" s="54"/>
      <c r="G21" s="54"/>
      <c r="H21" s="55"/>
      <c r="I21" s="55"/>
      <c r="J21" s="55"/>
      <c r="K21" s="55"/>
      <c r="L21" s="55"/>
      <c r="M21" s="143"/>
      <c r="N21" s="56"/>
      <c r="O21" s="29"/>
      <c r="P21" s="29"/>
      <c r="Q21" s="29"/>
      <c r="R21" s="29"/>
    </row>
    <row r="22" spans="1:18" s="4" customFormat="1" ht="12.75" x14ac:dyDescent="0.2">
      <c r="A22" s="59" t="s">
        <v>29</v>
      </c>
      <c r="B22" s="29"/>
      <c r="C22" s="29"/>
      <c r="D22" s="29"/>
      <c r="E22" s="60"/>
      <c r="F22" s="60"/>
      <c r="G22" s="60"/>
      <c r="H22" s="55"/>
      <c r="I22" s="55"/>
      <c r="J22" s="55"/>
      <c r="K22" s="55"/>
      <c r="L22" s="55"/>
      <c r="M22" s="143"/>
      <c r="N22" s="56"/>
      <c r="O22" s="29"/>
      <c r="P22" s="29"/>
      <c r="Q22" s="29"/>
      <c r="R22" s="29"/>
    </row>
    <row r="23" spans="1:18" s="45" customFormat="1" ht="16.5" customHeight="1" x14ac:dyDescent="0.2">
      <c r="A23" s="39">
        <v>1</v>
      </c>
      <c r="B23" s="40" t="s">
        <v>225</v>
      </c>
      <c r="C23" s="41">
        <f>(C11+C17)/2</f>
        <v>39.58</v>
      </c>
      <c r="D23" s="41">
        <f>(N23*C23)/100</f>
        <v>19.985920999999998</v>
      </c>
      <c r="E23" s="58">
        <v>100</v>
      </c>
      <c r="F23" s="58">
        <v>5</v>
      </c>
      <c r="G23" s="41">
        <f t="shared" ref="G23:I26" si="0">(G11+G17)/2</f>
        <v>6.4350000000000005</v>
      </c>
      <c r="H23" s="42">
        <v>4</v>
      </c>
      <c r="I23" s="41">
        <f t="shared" si="0"/>
        <v>39.19</v>
      </c>
      <c r="J23" s="42">
        <v>6</v>
      </c>
      <c r="K23" s="41">
        <f>(K11+K17)/2</f>
        <v>19.759999999999998</v>
      </c>
      <c r="L23" s="42">
        <v>9</v>
      </c>
      <c r="M23" s="140">
        <f>(F23+H23+J23+L23)</f>
        <v>24</v>
      </c>
      <c r="N23" s="41">
        <f t="shared" ref="N23:O26" si="1">(N11+N17)/2</f>
        <v>50.494999999999997</v>
      </c>
      <c r="O23" s="42">
        <f t="shared" si="1"/>
        <v>228</v>
      </c>
      <c r="P23" s="71">
        <f t="shared" ref="P23:Q26" si="2">(P11+P17)/2</f>
        <v>1.5</v>
      </c>
      <c r="Q23" s="42">
        <f t="shared" si="2"/>
        <v>114</v>
      </c>
      <c r="R23" s="52"/>
    </row>
    <row r="24" spans="1:18" s="4" customFormat="1" ht="16.5" customHeight="1" x14ac:dyDescent="0.2">
      <c r="A24" s="38">
        <v>2</v>
      </c>
      <c r="B24" s="46" t="s">
        <v>167</v>
      </c>
      <c r="C24" s="41">
        <f>(C12+C18)/2</f>
        <v>41.524999999999999</v>
      </c>
      <c r="D24" s="41">
        <f>(N24*C24)/100</f>
        <v>20.301572499999999</v>
      </c>
      <c r="E24" s="42">
        <f>(D24*E23)/D23</f>
        <v>101.57936929701664</v>
      </c>
      <c r="F24" s="58">
        <v>5</v>
      </c>
      <c r="G24" s="41">
        <f t="shared" si="0"/>
        <v>7.2850000000000001</v>
      </c>
      <c r="H24" s="42">
        <v>5</v>
      </c>
      <c r="I24" s="41">
        <f t="shared" si="0"/>
        <v>39.384999999999998</v>
      </c>
      <c r="J24" s="42">
        <v>6</v>
      </c>
      <c r="K24" s="41">
        <f>(K12+K18)/2</f>
        <v>19.344999999999999</v>
      </c>
      <c r="L24" s="42">
        <v>9</v>
      </c>
      <c r="M24" s="140">
        <f>(F24+H24+J24+L24)</f>
        <v>25</v>
      </c>
      <c r="N24" s="41">
        <f t="shared" si="1"/>
        <v>48.89</v>
      </c>
      <c r="O24" s="42">
        <f t="shared" si="1"/>
        <v>225.5</v>
      </c>
      <c r="P24" s="71">
        <f>(P12+P18)/2</f>
        <v>1.5</v>
      </c>
      <c r="Q24" s="42">
        <f t="shared" si="2"/>
        <v>108.5</v>
      </c>
      <c r="R24" s="25"/>
    </row>
    <row r="25" spans="1:18" s="4" customFormat="1" ht="16.5" customHeight="1" x14ac:dyDescent="0.2">
      <c r="A25" s="38">
        <v>3</v>
      </c>
      <c r="B25" s="46" t="s">
        <v>168</v>
      </c>
      <c r="C25" s="41">
        <f>(C13+C19)/2</f>
        <v>38.769999999999996</v>
      </c>
      <c r="D25" s="41">
        <f>(N25*C25)/100</f>
        <v>19.708729499999997</v>
      </c>
      <c r="E25" s="42">
        <f>(D25*E23)/D23</f>
        <v>98.613066167928906</v>
      </c>
      <c r="F25" s="58">
        <v>5</v>
      </c>
      <c r="G25" s="41">
        <f t="shared" si="0"/>
        <v>7.5600000000000005</v>
      </c>
      <c r="H25" s="42">
        <v>5</v>
      </c>
      <c r="I25" s="41">
        <f t="shared" si="0"/>
        <v>37.905000000000001</v>
      </c>
      <c r="J25" s="42">
        <v>8</v>
      </c>
      <c r="K25" s="41">
        <f>(K13+K19)/2</f>
        <v>19.984999999999999</v>
      </c>
      <c r="L25" s="42">
        <v>9</v>
      </c>
      <c r="M25" s="140">
        <f>(F25+H25+J25+L25)</f>
        <v>27</v>
      </c>
      <c r="N25" s="41">
        <f t="shared" si="1"/>
        <v>50.835000000000001</v>
      </c>
      <c r="O25" s="42">
        <f t="shared" si="1"/>
        <v>215</v>
      </c>
      <c r="P25" s="71">
        <f>(P13+P19)/2</f>
        <v>1.5</v>
      </c>
      <c r="Q25" s="42">
        <f t="shared" si="2"/>
        <v>117</v>
      </c>
      <c r="R25" s="25"/>
    </row>
    <row r="26" spans="1:18" s="4" customFormat="1" ht="16.5" customHeight="1" x14ac:dyDescent="0.2">
      <c r="A26" s="39">
        <v>4</v>
      </c>
      <c r="B26" s="49" t="s">
        <v>169</v>
      </c>
      <c r="C26" s="41">
        <f>(C14+C20)/2</f>
        <v>38.664999999999999</v>
      </c>
      <c r="D26" s="41">
        <f>(N26*C26)/100</f>
        <v>21.387544749999996</v>
      </c>
      <c r="E26" s="42">
        <f>(D26*E23)/D23</f>
        <v>107.01305559048292</v>
      </c>
      <c r="F26" s="58">
        <v>6</v>
      </c>
      <c r="G26" s="41">
        <f t="shared" si="0"/>
        <v>8.504999999999999</v>
      </c>
      <c r="H26" s="42">
        <v>6</v>
      </c>
      <c r="I26" s="41">
        <f t="shared" si="0"/>
        <v>39.335000000000001</v>
      </c>
      <c r="J26" s="42">
        <v>6</v>
      </c>
      <c r="K26" s="41">
        <f>(K14+K20)/2</f>
        <v>20.28</v>
      </c>
      <c r="L26" s="42">
        <v>9</v>
      </c>
      <c r="M26" s="140">
        <f>(F26+H26+J26+L26)</f>
        <v>27</v>
      </c>
      <c r="N26" s="41">
        <f t="shared" si="1"/>
        <v>55.314999999999998</v>
      </c>
      <c r="O26" s="42">
        <f t="shared" si="1"/>
        <v>225.5</v>
      </c>
      <c r="P26" s="71">
        <f>(P14+P20)/2</f>
        <v>1.5</v>
      </c>
      <c r="Q26" s="42">
        <f t="shared" si="2"/>
        <v>117</v>
      </c>
      <c r="R26" s="25"/>
    </row>
  </sheetData>
  <mergeCells count="31">
    <mergeCell ref="F7:F8"/>
    <mergeCell ref="E5:F6"/>
    <mergeCell ref="G5:H6"/>
    <mergeCell ref="I5:J6"/>
    <mergeCell ref="I7:I8"/>
    <mergeCell ref="J7:J8"/>
    <mergeCell ref="R5:R8"/>
    <mergeCell ref="M5:M8"/>
    <mergeCell ref="N5:N6"/>
    <mergeCell ref="P5:P6"/>
    <mergeCell ref="P7:P8"/>
    <mergeCell ref="O5:O6"/>
    <mergeCell ref="Q5:Q8"/>
    <mergeCell ref="O7:O8"/>
    <mergeCell ref="N7:N8"/>
    <mergeCell ref="F1:M1"/>
    <mergeCell ref="A15:B15"/>
    <mergeCell ref="G7:G8"/>
    <mergeCell ref="L7:L8"/>
    <mergeCell ref="D7:D8"/>
    <mergeCell ref="K5:L6"/>
    <mergeCell ref="C5:C6"/>
    <mergeCell ref="C7:C8"/>
    <mergeCell ref="K7:K8"/>
    <mergeCell ref="H7:H8"/>
    <mergeCell ref="A21:B21"/>
    <mergeCell ref="A5:A8"/>
    <mergeCell ref="B5:B8"/>
    <mergeCell ref="E7:E8"/>
    <mergeCell ref="D5:D6"/>
    <mergeCell ref="A1:E1"/>
  </mergeCells>
  <phoneticPr fontId="0" type="noConversion"/>
  <pageMargins left="0.25" right="0.25" top="0.75" bottom="0.75" header="0.3" footer="0.3"/>
  <pageSetup orientation="landscape" r:id="rId1"/>
  <headerFooter>
    <oddHeader>&amp;CKukurūzas saimniecisko īpašību novērtējums 2013.gadā.</oddHeader>
    <oddFooter>&amp;CLapa &amp;P no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2"/>
  <sheetViews>
    <sheetView workbookViewId="0">
      <selection activeCell="D30" sqref="D30"/>
    </sheetView>
  </sheetViews>
  <sheetFormatPr defaultRowHeight="14.25" x14ac:dyDescent="0.2"/>
  <cols>
    <col min="1" max="1" width="3.28515625" style="3" customWidth="1"/>
    <col min="2" max="2" width="21.7109375" style="3" customWidth="1"/>
    <col min="3" max="3" width="7.28515625" style="3" customWidth="1"/>
    <col min="4" max="4" width="9.85546875" style="3" customWidth="1"/>
    <col min="5" max="5" width="6" style="3" customWidth="1"/>
    <col min="6" max="6" width="8.42578125" style="3" customWidth="1"/>
    <col min="7" max="7" width="7.42578125" style="3" customWidth="1"/>
    <col min="8" max="8" width="8.140625" style="3" customWidth="1"/>
    <col min="9" max="9" width="10.7109375" style="3" customWidth="1"/>
    <col min="10" max="10" width="6.42578125" style="3" customWidth="1"/>
    <col min="11" max="11" width="7" style="3" customWidth="1"/>
    <col min="12" max="12" width="5.7109375" style="3" customWidth="1"/>
    <col min="13" max="13" width="6.140625" style="3" customWidth="1"/>
    <col min="14" max="14" width="5.7109375" style="3" customWidth="1"/>
    <col min="15" max="15" width="6.42578125" style="3" customWidth="1"/>
    <col min="16" max="17" width="6.28515625" style="3" customWidth="1"/>
    <col min="18" max="18" width="7.140625" style="3" customWidth="1"/>
    <col min="19" max="19" width="6.140625" style="3" customWidth="1"/>
    <col min="20" max="20" width="9.85546875" style="3" customWidth="1"/>
    <col min="21" max="16384" width="9.140625" style="3"/>
  </cols>
  <sheetData>
    <row r="2" spans="1:20" ht="15" customHeight="1" x14ac:dyDescent="0.2">
      <c r="A2" s="1"/>
      <c r="B2" s="1"/>
      <c r="C2" s="22" t="s">
        <v>226</v>
      </c>
      <c r="D2" s="1"/>
      <c r="E2" s="1"/>
      <c r="F2" s="1"/>
      <c r="G2" s="1"/>
      <c r="H2" s="1"/>
      <c r="I2" s="1"/>
      <c r="L2" s="1"/>
      <c r="M2" s="1"/>
      <c r="N2" s="1"/>
      <c r="O2" s="1"/>
      <c r="T2" s="1"/>
    </row>
    <row r="4" spans="1:20" ht="15" x14ac:dyDescent="0.2">
      <c r="A4" s="2" t="s">
        <v>227</v>
      </c>
    </row>
    <row r="6" spans="1:20" s="4" customFormat="1" ht="63.75" customHeight="1" x14ac:dyDescent="0.2">
      <c r="A6" s="152" t="s">
        <v>12</v>
      </c>
      <c r="B6" s="152" t="s">
        <v>0</v>
      </c>
      <c r="C6" s="152" t="s">
        <v>211</v>
      </c>
      <c r="D6" s="152"/>
      <c r="E6" s="152"/>
      <c r="F6" s="11" t="s">
        <v>46</v>
      </c>
      <c r="G6" s="11" t="s">
        <v>219</v>
      </c>
      <c r="H6" s="11" t="s">
        <v>229</v>
      </c>
      <c r="I6" s="11" t="s">
        <v>60</v>
      </c>
      <c r="J6" s="152" t="s">
        <v>215</v>
      </c>
      <c r="K6" s="152"/>
      <c r="L6" s="152" t="s">
        <v>90</v>
      </c>
      <c r="M6" s="152"/>
      <c r="N6" s="152" t="s">
        <v>212</v>
      </c>
      <c r="O6" s="152"/>
      <c r="P6" s="152" t="s">
        <v>94</v>
      </c>
      <c r="Q6" s="152"/>
      <c r="R6" s="152" t="s">
        <v>27</v>
      </c>
      <c r="S6" s="152"/>
      <c r="T6" s="153" t="s">
        <v>30</v>
      </c>
    </row>
    <row r="7" spans="1:20" s="4" customFormat="1" ht="29.25" customHeight="1" x14ac:dyDescent="0.2">
      <c r="A7" s="152"/>
      <c r="B7" s="152"/>
      <c r="C7" s="12" t="s">
        <v>67</v>
      </c>
      <c r="D7" s="12" t="s">
        <v>44</v>
      </c>
      <c r="E7" s="12" t="s">
        <v>6</v>
      </c>
      <c r="F7" s="12" t="s">
        <v>45</v>
      </c>
      <c r="G7" s="12" t="s">
        <v>6</v>
      </c>
      <c r="H7" s="12" t="s">
        <v>59</v>
      </c>
      <c r="I7" s="12" t="s">
        <v>61</v>
      </c>
      <c r="J7" s="12" t="s">
        <v>89</v>
      </c>
      <c r="K7" s="12" t="s">
        <v>6</v>
      </c>
      <c r="L7" s="12" t="s">
        <v>15</v>
      </c>
      <c r="M7" s="13" t="s">
        <v>6</v>
      </c>
      <c r="N7" s="13" t="s">
        <v>63</v>
      </c>
      <c r="O7" s="13" t="s">
        <v>6</v>
      </c>
      <c r="P7" s="12" t="s">
        <v>95</v>
      </c>
      <c r="Q7" s="12" t="s">
        <v>6</v>
      </c>
      <c r="R7" s="12" t="s">
        <v>15</v>
      </c>
      <c r="S7" s="12" t="s">
        <v>6</v>
      </c>
      <c r="T7" s="153"/>
    </row>
    <row r="8" spans="1:20" s="4" customFormat="1" ht="12.75" x14ac:dyDescent="0.2">
      <c r="A8" s="5" t="s">
        <v>121</v>
      </c>
      <c r="T8" s="144"/>
    </row>
    <row r="9" spans="1:20" s="4" customFormat="1" ht="12.75" x14ac:dyDescent="0.2">
      <c r="A9" s="12">
        <v>1</v>
      </c>
      <c r="B9" s="11" t="s">
        <v>230</v>
      </c>
      <c r="C9" s="14">
        <v>7.29</v>
      </c>
      <c r="D9" s="12">
        <v>100</v>
      </c>
      <c r="E9" s="12">
        <f>5*2</f>
        <v>10</v>
      </c>
      <c r="F9" s="12">
        <v>8</v>
      </c>
      <c r="G9" s="12">
        <v>9</v>
      </c>
      <c r="H9" s="16">
        <v>110</v>
      </c>
      <c r="I9" s="12">
        <v>206</v>
      </c>
      <c r="J9" s="12">
        <v>729</v>
      </c>
      <c r="K9" s="12">
        <v>7</v>
      </c>
      <c r="L9" s="17">
        <v>11.7</v>
      </c>
      <c r="M9" s="12">
        <v>5</v>
      </c>
      <c r="N9" s="17">
        <v>40.1</v>
      </c>
      <c r="O9" s="16">
        <v>5</v>
      </c>
      <c r="P9" s="12">
        <v>99</v>
      </c>
      <c r="Q9" s="12">
        <v>4</v>
      </c>
      <c r="R9" s="17">
        <v>67.3</v>
      </c>
      <c r="S9" s="12">
        <v>8</v>
      </c>
      <c r="T9" s="131">
        <f>E9+F9+K9+M9+O9+Q9+S9</f>
        <v>47</v>
      </c>
    </row>
    <row r="10" spans="1:20" s="4" customFormat="1" ht="12.75" x14ac:dyDescent="0.2">
      <c r="A10" s="12">
        <v>2</v>
      </c>
      <c r="B10" s="11" t="s">
        <v>122</v>
      </c>
      <c r="C10" s="14">
        <v>7.35</v>
      </c>
      <c r="D10" s="16">
        <f>(C10*100)/C9</f>
        <v>100.82304526748972</v>
      </c>
      <c r="E10" s="12">
        <f>5*2</f>
        <v>10</v>
      </c>
      <c r="F10" s="12">
        <v>8</v>
      </c>
      <c r="G10" s="12">
        <v>9</v>
      </c>
      <c r="H10" s="12">
        <v>95</v>
      </c>
      <c r="I10" s="12">
        <v>206</v>
      </c>
      <c r="J10" s="12">
        <v>735</v>
      </c>
      <c r="K10" s="12">
        <v>8</v>
      </c>
      <c r="L10" s="17">
        <v>11.1</v>
      </c>
      <c r="M10" s="12">
        <v>5</v>
      </c>
      <c r="N10" s="12">
        <v>41.8</v>
      </c>
      <c r="O10" s="12">
        <v>5</v>
      </c>
      <c r="P10" s="12">
        <v>66</v>
      </c>
      <c r="Q10" s="12">
        <v>1</v>
      </c>
      <c r="R10" s="12">
        <v>68.7</v>
      </c>
      <c r="S10" s="12">
        <v>9</v>
      </c>
      <c r="T10" s="131">
        <f>E10+F10+K10+M10+O10+Q10+S10</f>
        <v>46</v>
      </c>
    </row>
    <row r="11" spans="1:20" s="4" customFormat="1" ht="12.75" x14ac:dyDescent="0.2">
      <c r="A11" s="5" t="s">
        <v>115</v>
      </c>
      <c r="T11" s="145"/>
    </row>
    <row r="12" spans="1:20" s="4" customFormat="1" ht="12.75" x14ac:dyDescent="0.2">
      <c r="A12" s="12">
        <v>1</v>
      </c>
      <c r="B12" s="11" t="s">
        <v>230</v>
      </c>
      <c r="C12" s="14">
        <v>0.85</v>
      </c>
      <c r="D12" s="12">
        <v>100</v>
      </c>
      <c r="E12" s="12">
        <f>5*2</f>
        <v>10</v>
      </c>
      <c r="F12" s="12">
        <v>4</v>
      </c>
      <c r="G12" s="12">
        <v>9</v>
      </c>
      <c r="H12" s="12">
        <v>86</v>
      </c>
      <c r="I12" s="12">
        <v>203</v>
      </c>
      <c r="J12" s="16">
        <v>682</v>
      </c>
      <c r="K12" s="16">
        <v>5</v>
      </c>
      <c r="L12" s="17">
        <v>13.7</v>
      </c>
      <c r="M12" s="12">
        <v>7</v>
      </c>
      <c r="N12" s="17">
        <v>43.2</v>
      </c>
      <c r="O12" s="16">
        <v>5</v>
      </c>
      <c r="P12" s="16">
        <v>62</v>
      </c>
      <c r="Q12" s="16">
        <v>1</v>
      </c>
      <c r="R12" s="17">
        <v>59.7</v>
      </c>
      <c r="S12" s="16">
        <v>1</v>
      </c>
      <c r="T12" s="131">
        <f>E12+F12+K12+M12+O12+Q12+S12</f>
        <v>33</v>
      </c>
    </row>
    <row r="13" spans="1:20" s="4" customFormat="1" ht="12.75" x14ac:dyDescent="0.2">
      <c r="A13" s="12">
        <v>2</v>
      </c>
      <c r="B13" s="11" t="s">
        <v>122</v>
      </c>
      <c r="C13" s="12">
        <v>2.56</v>
      </c>
      <c r="D13" s="16">
        <f>(C13*100)/C12</f>
        <v>301.1764705882353</v>
      </c>
      <c r="E13" s="12">
        <f>9*2</f>
        <v>18</v>
      </c>
      <c r="F13" s="12">
        <v>6</v>
      </c>
      <c r="G13" s="12">
        <v>9</v>
      </c>
      <c r="H13" s="12">
        <v>69</v>
      </c>
      <c r="I13" s="12">
        <v>201</v>
      </c>
      <c r="J13" s="12">
        <v>672</v>
      </c>
      <c r="K13" s="12">
        <v>4</v>
      </c>
      <c r="L13" s="17">
        <v>13.3</v>
      </c>
      <c r="M13" s="12">
        <v>7</v>
      </c>
      <c r="N13" s="17">
        <v>44</v>
      </c>
      <c r="O13" s="12">
        <v>6</v>
      </c>
      <c r="P13" s="12">
        <v>62</v>
      </c>
      <c r="Q13" s="12">
        <v>1</v>
      </c>
      <c r="R13" s="17">
        <v>60.2</v>
      </c>
      <c r="S13" s="12">
        <v>1</v>
      </c>
      <c r="T13" s="131">
        <f>E13+F13+K13+M13+O13+Q13+S13</f>
        <v>43</v>
      </c>
    </row>
    <row r="14" spans="1:20" s="4" customFormat="1" ht="12.75" x14ac:dyDescent="0.2">
      <c r="A14" s="5" t="s">
        <v>120</v>
      </c>
      <c r="T14" s="145"/>
    </row>
    <row r="15" spans="1:20" s="4" customFormat="1" ht="12.75" x14ac:dyDescent="0.2">
      <c r="A15" s="12">
        <v>1</v>
      </c>
      <c r="B15" s="11" t="s">
        <v>230</v>
      </c>
      <c r="C15" s="12">
        <v>7.26</v>
      </c>
      <c r="D15" s="12">
        <v>100</v>
      </c>
      <c r="E15" s="12">
        <f>5*2</f>
        <v>10</v>
      </c>
      <c r="F15" s="12">
        <v>9</v>
      </c>
      <c r="G15" s="12">
        <v>9</v>
      </c>
      <c r="H15" s="12">
        <v>102</v>
      </c>
      <c r="I15" s="12">
        <v>209</v>
      </c>
      <c r="J15" s="12">
        <v>740</v>
      </c>
      <c r="K15" s="12">
        <v>8</v>
      </c>
      <c r="L15" s="12">
        <v>10.5</v>
      </c>
      <c r="M15" s="12">
        <v>4</v>
      </c>
      <c r="N15" s="12">
        <v>39.4</v>
      </c>
      <c r="O15" s="12">
        <v>4</v>
      </c>
      <c r="P15" s="12">
        <v>76</v>
      </c>
      <c r="Q15" s="12">
        <v>1</v>
      </c>
      <c r="R15" s="12">
        <v>68.099999999999994</v>
      </c>
      <c r="S15" s="12">
        <v>9</v>
      </c>
      <c r="T15" s="131">
        <f>E15+F15+K15+M15+O15+Q15+S15</f>
        <v>45</v>
      </c>
    </row>
    <row r="16" spans="1:20" s="4" customFormat="1" ht="12.75" x14ac:dyDescent="0.2">
      <c r="A16" s="12">
        <v>2</v>
      </c>
      <c r="B16" s="11" t="s">
        <v>122</v>
      </c>
      <c r="C16" s="14">
        <v>7.32</v>
      </c>
      <c r="D16" s="16">
        <f>(C16*100)/C15</f>
        <v>100.82644628099173</v>
      </c>
      <c r="E16" s="12">
        <f>5*2</f>
        <v>10</v>
      </c>
      <c r="F16" s="12">
        <v>9</v>
      </c>
      <c r="G16" s="12">
        <v>9</v>
      </c>
      <c r="H16" s="12">
        <v>83</v>
      </c>
      <c r="I16" s="12">
        <v>209</v>
      </c>
      <c r="J16" s="12">
        <v>736</v>
      </c>
      <c r="K16" s="12">
        <v>8</v>
      </c>
      <c r="L16" s="12">
        <v>10.3</v>
      </c>
      <c r="M16" s="12">
        <v>4</v>
      </c>
      <c r="N16" s="12">
        <v>38.200000000000003</v>
      </c>
      <c r="O16" s="12">
        <v>4</v>
      </c>
      <c r="P16" s="12">
        <v>64</v>
      </c>
      <c r="Q16" s="12">
        <v>1</v>
      </c>
      <c r="R16" s="12">
        <v>68.5</v>
      </c>
      <c r="S16" s="12">
        <v>9</v>
      </c>
      <c r="T16" s="131">
        <f>E16+F16+K16+M16+O16+Q16+S16</f>
        <v>45</v>
      </c>
    </row>
    <row r="17" spans="1:20" s="4" customFormat="1" ht="12.75" x14ac:dyDescent="0.2">
      <c r="A17" s="5" t="s">
        <v>29</v>
      </c>
      <c r="T17" s="145"/>
    </row>
    <row r="18" spans="1:20" s="4" customFormat="1" ht="12.75" x14ac:dyDescent="0.2">
      <c r="A18" s="12">
        <v>1</v>
      </c>
      <c r="B18" s="11" t="s">
        <v>230</v>
      </c>
      <c r="C18" s="14">
        <f>(C9+C12+C15)/3</f>
        <v>5.1333333333333337</v>
      </c>
      <c r="D18" s="12">
        <v>100</v>
      </c>
      <c r="E18" s="12">
        <f>5*2</f>
        <v>10</v>
      </c>
      <c r="F18" s="12">
        <f t="shared" ref="F18:J19" si="0">(F9+F12+F15)/3</f>
        <v>7</v>
      </c>
      <c r="G18" s="12">
        <f t="shared" si="0"/>
        <v>9</v>
      </c>
      <c r="H18" s="16">
        <f t="shared" si="0"/>
        <v>99.333333333333329</v>
      </c>
      <c r="I18" s="16">
        <f t="shared" si="0"/>
        <v>206</v>
      </c>
      <c r="J18" s="16">
        <f t="shared" si="0"/>
        <v>717</v>
      </c>
      <c r="K18" s="16">
        <v>7</v>
      </c>
      <c r="L18" s="17">
        <f>(L9+L12+L15)/3</f>
        <v>11.966666666666667</v>
      </c>
      <c r="M18" s="12">
        <v>6</v>
      </c>
      <c r="N18" s="12">
        <f>(N9+N12+N15)/3</f>
        <v>40.900000000000006</v>
      </c>
      <c r="O18" s="16">
        <v>5</v>
      </c>
      <c r="P18" s="16">
        <f>(P9+P12+P15)/3</f>
        <v>79</v>
      </c>
      <c r="Q18" s="12">
        <v>1</v>
      </c>
      <c r="R18" s="17">
        <f>(R9+R12+R15)/3</f>
        <v>65.033333333333331</v>
      </c>
      <c r="S18" s="16">
        <v>5</v>
      </c>
      <c r="T18" s="131">
        <f>E18+F18+K18+M18+O18+Q18+S18</f>
        <v>41</v>
      </c>
    </row>
    <row r="19" spans="1:20" s="4" customFormat="1" ht="12.75" x14ac:dyDescent="0.2">
      <c r="A19" s="12">
        <v>2</v>
      </c>
      <c r="B19" s="11" t="s">
        <v>122</v>
      </c>
      <c r="C19" s="14">
        <f>(C10+C13+C16)/3</f>
        <v>5.7433333333333332</v>
      </c>
      <c r="D19" s="16">
        <f>(C19*100)/C18</f>
        <v>111.88311688311688</v>
      </c>
      <c r="E19" s="16">
        <f>6*2</f>
        <v>12</v>
      </c>
      <c r="F19" s="16">
        <f t="shared" si="0"/>
        <v>7.666666666666667</v>
      </c>
      <c r="G19" s="16">
        <f t="shared" si="0"/>
        <v>9</v>
      </c>
      <c r="H19" s="16">
        <f t="shared" si="0"/>
        <v>82.333333333333329</v>
      </c>
      <c r="I19" s="16">
        <f t="shared" si="0"/>
        <v>205.33333333333334</v>
      </c>
      <c r="J19" s="16">
        <f t="shared" si="0"/>
        <v>714.33333333333337</v>
      </c>
      <c r="K19" s="12">
        <v>7</v>
      </c>
      <c r="L19" s="17">
        <f>(L10+L13+L16)/3</f>
        <v>11.566666666666668</v>
      </c>
      <c r="M19" s="12">
        <v>5</v>
      </c>
      <c r="N19" s="17">
        <f>(N10+N13+N16)/3</f>
        <v>41.333333333333336</v>
      </c>
      <c r="O19" s="12">
        <v>5</v>
      </c>
      <c r="P19" s="16">
        <f>(P10+P13+P16)/3</f>
        <v>64</v>
      </c>
      <c r="Q19" s="16">
        <v>1</v>
      </c>
      <c r="R19" s="17">
        <f>(R10+R13+R16)/3</f>
        <v>65.8</v>
      </c>
      <c r="S19" s="16">
        <v>6</v>
      </c>
      <c r="T19" s="131">
        <f>E19+F19+K19+M19+O19+Q19+S19</f>
        <v>43.666666666666671</v>
      </c>
    </row>
    <row r="22" spans="1:20" ht="15.75" x14ac:dyDescent="0.25">
      <c r="B22" s="133" t="s">
        <v>218</v>
      </c>
      <c r="C22" s="134"/>
      <c r="D22" s="134"/>
      <c r="E22" s="134"/>
    </row>
  </sheetData>
  <mergeCells count="9">
    <mergeCell ref="P6:Q6"/>
    <mergeCell ref="R6:S6"/>
    <mergeCell ref="T6:T7"/>
    <mergeCell ref="A6:A7"/>
    <mergeCell ref="B6:B7"/>
    <mergeCell ref="C6:E6"/>
    <mergeCell ref="J6:K6"/>
    <mergeCell ref="L6:M6"/>
    <mergeCell ref="N6:O6"/>
  </mergeCells>
  <phoneticPr fontId="0" type="noConversion"/>
  <pageMargins left="0.25" right="0.25" top="0.75" bottom="0.75" header="0.3" footer="0.3"/>
  <pageSetup orientation="landscape" r:id="rId1"/>
  <headerFooter>
    <oddHeader>&amp;CZiemas tritikāles saimniecisko īpašību novērtējums 2013.gadā.</oddHeader>
    <oddFooter>&amp;CLapa &amp;P no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6"/>
  <sheetViews>
    <sheetView workbookViewId="0">
      <selection activeCell="H31" sqref="H31"/>
    </sheetView>
  </sheetViews>
  <sheetFormatPr defaultRowHeight="14.25" x14ac:dyDescent="0.2"/>
  <cols>
    <col min="1" max="1" width="3.28515625" style="3" customWidth="1"/>
    <col min="2" max="2" width="17.7109375" style="3" customWidth="1"/>
    <col min="3" max="3" width="7.7109375" style="3" customWidth="1"/>
    <col min="4" max="4" width="7.140625" style="3" customWidth="1"/>
    <col min="5" max="5" width="7.5703125" style="3" customWidth="1"/>
    <col min="6" max="6" width="9.5703125" style="3" customWidth="1"/>
    <col min="7" max="7" width="8" style="3" customWidth="1"/>
    <col min="8" max="8" width="8.42578125" style="3" customWidth="1"/>
    <col min="9" max="9" width="7.7109375" style="3" customWidth="1"/>
    <col min="10" max="10" width="5.85546875" style="3" customWidth="1"/>
    <col min="11" max="11" width="7.140625" style="3" customWidth="1"/>
    <col min="12" max="12" width="5.28515625" style="3" customWidth="1"/>
    <col min="13" max="13" width="6.140625" style="3" customWidth="1"/>
    <col min="14" max="14" width="5.5703125" style="3" customWidth="1"/>
    <col min="15" max="16" width="6.140625" style="3" customWidth="1"/>
    <col min="17" max="17" width="6.42578125" style="3" customWidth="1"/>
    <col min="18" max="18" width="6.5703125" style="3" customWidth="1"/>
    <col min="19" max="19" width="6.28515625" style="3" customWidth="1"/>
    <col min="20" max="20" width="10" style="3" customWidth="1"/>
    <col min="21" max="16384" width="9.140625" style="3"/>
  </cols>
  <sheetData>
    <row r="2" spans="1:20" ht="15" customHeight="1" x14ac:dyDescent="0.2">
      <c r="A2" s="1"/>
      <c r="B2" s="1"/>
      <c r="C2" s="22" t="s">
        <v>217</v>
      </c>
      <c r="D2" s="1"/>
      <c r="E2" s="1"/>
      <c r="F2" s="1"/>
      <c r="G2" s="1"/>
      <c r="H2" s="1"/>
      <c r="I2" s="1"/>
      <c r="L2" s="1"/>
      <c r="M2" s="1"/>
      <c r="N2" s="1"/>
      <c r="O2" s="1"/>
      <c r="T2" s="1"/>
    </row>
    <row r="4" spans="1:20" ht="15" x14ac:dyDescent="0.2">
      <c r="A4" s="2" t="s">
        <v>201</v>
      </c>
    </row>
    <row r="6" spans="1:20" s="4" customFormat="1" ht="63.75" customHeight="1" x14ac:dyDescent="0.2">
      <c r="A6" s="152" t="s">
        <v>12</v>
      </c>
      <c r="B6" s="152" t="s">
        <v>0</v>
      </c>
      <c r="C6" s="152" t="s">
        <v>88</v>
      </c>
      <c r="D6" s="152"/>
      <c r="E6" s="152"/>
      <c r="F6" s="11" t="s">
        <v>46</v>
      </c>
      <c r="G6" s="11" t="s">
        <v>233</v>
      </c>
      <c r="H6" s="11" t="s">
        <v>231</v>
      </c>
      <c r="I6" s="11" t="s">
        <v>136</v>
      </c>
      <c r="J6" s="152" t="s">
        <v>215</v>
      </c>
      <c r="K6" s="152"/>
      <c r="L6" s="152" t="s">
        <v>90</v>
      </c>
      <c r="M6" s="152"/>
      <c r="N6" s="152" t="s">
        <v>212</v>
      </c>
      <c r="O6" s="152"/>
      <c r="P6" s="152" t="s">
        <v>94</v>
      </c>
      <c r="Q6" s="152"/>
      <c r="R6" s="152" t="s">
        <v>27</v>
      </c>
      <c r="S6" s="152"/>
      <c r="T6" s="153" t="s">
        <v>30</v>
      </c>
    </row>
    <row r="7" spans="1:20" s="4" customFormat="1" ht="34.5" customHeight="1" x14ac:dyDescent="0.2">
      <c r="A7" s="152"/>
      <c r="B7" s="152"/>
      <c r="C7" s="12" t="s">
        <v>67</v>
      </c>
      <c r="D7" s="12" t="s">
        <v>44</v>
      </c>
      <c r="E7" s="12" t="s">
        <v>6</v>
      </c>
      <c r="F7" s="12" t="s">
        <v>45</v>
      </c>
      <c r="G7" s="12" t="s">
        <v>6</v>
      </c>
      <c r="H7" s="12" t="s">
        <v>59</v>
      </c>
      <c r="I7" s="12" t="s">
        <v>61</v>
      </c>
      <c r="J7" s="12" t="s">
        <v>89</v>
      </c>
      <c r="K7" s="12" t="s">
        <v>6</v>
      </c>
      <c r="L7" s="12" t="s">
        <v>15</v>
      </c>
      <c r="M7" s="13" t="s">
        <v>6</v>
      </c>
      <c r="N7" s="13" t="s">
        <v>63</v>
      </c>
      <c r="O7" s="13" t="s">
        <v>6</v>
      </c>
      <c r="P7" s="12" t="s">
        <v>95</v>
      </c>
      <c r="Q7" s="12" t="s">
        <v>6</v>
      </c>
      <c r="R7" s="12" t="s">
        <v>15</v>
      </c>
      <c r="S7" s="12" t="s">
        <v>6</v>
      </c>
      <c r="T7" s="153"/>
    </row>
    <row r="8" spans="1:20" s="4" customFormat="1" ht="12.75" x14ac:dyDescent="0.2">
      <c r="A8" s="5" t="s">
        <v>117</v>
      </c>
      <c r="T8" s="144"/>
    </row>
    <row r="9" spans="1:20" s="4" customFormat="1" ht="12.75" x14ac:dyDescent="0.2">
      <c r="A9" s="12">
        <v>1</v>
      </c>
      <c r="B9" s="11" t="s">
        <v>232</v>
      </c>
      <c r="C9" s="72">
        <v>9.8000000000000007</v>
      </c>
      <c r="D9" s="12">
        <v>100</v>
      </c>
      <c r="E9" s="12">
        <f>5*2</f>
        <v>10</v>
      </c>
      <c r="F9" s="12">
        <v>7</v>
      </c>
      <c r="G9" s="12">
        <v>9</v>
      </c>
      <c r="H9" s="16">
        <v>112</v>
      </c>
      <c r="I9" s="12">
        <v>216</v>
      </c>
      <c r="J9" s="12">
        <v>771</v>
      </c>
      <c r="K9" s="12">
        <v>9</v>
      </c>
      <c r="L9" s="17">
        <v>9.4</v>
      </c>
      <c r="M9" s="12">
        <v>3</v>
      </c>
      <c r="N9" s="17">
        <v>41.4</v>
      </c>
      <c r="O9" s="16">
        <v>7</v>
      </c>
      <c r="P9" s="12">
        <v>220</v>
      </c>
      <c r="Q9" s="12">
        <v>3</v>
      </c>
      <c r="R9" s="17">
        <v>61</v>
      </c>
      <c r="S9" s="12">
        <v>3</v>
      </c>
      <c r="T9" s="131">
        <f>E9+F9+K9+M9+O9+Q9+S9</f>
        <v>42</v>
      </c>
    </row>
    <row r="10" spans="1:20" s="4" customFormat="1" ht="25.5" x14ac:dyDescent="0.2">
      <c r="A10" s="12">
        <v>2</v>
      </c>
      <c r="B10" s="11" t="s">
        <v>118</v>
      </c>
      <c r="C10" s="72">
        <v>10.83</v>
      </c>
      <c r="D10" s="16">
        <f>(C10*100)/C9</f>
        <v>110.51020408163265</v>
      </c>
      <c r="E10" s="12">
        <f>6*2</f>
        <v>12</v>
      </c>
      <c r="F10" s="12">
        <v>8</v>
      </c>
      <c r="G10" s="12">
        <v>9</v>
      </c>
      <c r="H10" s="12">
        <v>118</v>
      </c>
      <c r="I10" s="12">
        <v>216</v>
      </c>
      <c r="J10" s="12">
        <v>794</v>
      </c>
      <c r="K10" s="12">
        <v>9</v>
      </c>
      <c r="L10" s="17">
        <v>9.4</v>
      </c>
      <c r="M10" s="12">
        <v>3</v>
      </c>
      <c r="N10" s="12">
        <v>40.700000000000003</v>
      </c>
      <c r="O10" s="12">
        <v>6</v>
      </c>
      <c r="P10" s="12">
        <v>242</v>
      </c>
      <c r="Q10" s="12">
        <v>1</v>
      </c>
      <c r="R10" s="12">
        <v>60.9</v>
      </c>
      <c r="S10" s="12">
        <v>2</v>
      </c>
      <c r="T10" s="131">
        <f>E10+F10+K10+M10+O10+Q10+S10</f>
        <v>41</v>
      </c>
    </row>
    <row r="11" spans="1:20" s="4" customFormat="1" ht="12.75" x14ac:dyDescent="0.2">
      <c r="A11" s="12">
        <v>3</v>
      </c>
      <c r="B11" s="11" t="s">
        <v>119</v>
      </c>
      <c r="C11" s="73">
        <v>10.23</v>
      </c>
      <c r="D11" s="16">
        <f>(C11*100)/C9</f>
        <v>104.38775510204081</v>
      </c>
      <c r="E11" s="12">
        <f>5*2</f>
        <v>10</v>
      </c>
      <c r="F11" s="12">
        <v>7</v>
      </c>
      <c r="G11" s="12">
        <v>9</v>
      </c>
      <c r="H11" s="12">
        <v>117</v>
      </c>
      <c r="I11" s="12">
        <v>216</v>
      </c>
      <c r="J11" s="12">
        <v>789</v>
      </c>
      <c r="K11" s="12">
        <v>9</v>
      </c>
      <c r="L11" s="17">
        <v>9.6999999999999993</v>
      </c>
      <c r="M11" s="12">
        <v>3</v>
      </c>
      <c r="N11" s="17">
        <v>42.9</v>
      </c>
      <c r="O11" s="12">
        <v>7</v>
      </c>
      <c r="P11" s="12">
        <v>106</v>
      </c>
      <c r="Q11" s="12">
        <v>4</v>
      </c>
      <c r="R11" s="12">
        <v>60.1</v>
      </c>
      <c r="S11" s="12">
        <v>2</v>
      </c>
      <c r="T11" s="131">
        <f>E11+F11+K11+M11+O11+Q11+S11</f>
        <v>42</v>
      </c>
    </row>
    <row r="12" spans="1:20" s="4" customFormat="1" ht="12.75" x14ac:dyDescent="0.2">
      <c r="A12" s="5" t="s">
        <v>115</v>
      </c>
      <c r="T12" s="146"/>
    </row>
    <row r="13" spans="1:20" s="4" customFormat="1" ht="12.75" x14ac:dyDescent="0.2">
      <c r="A13" s="12">
        <v>1</v>
      </c>
      <c r="B13" s="11" t="s">
        <v>232</v>
      </c>
      <c r="C13" s="14">
        <v>3.63</v>
      </c>
      <c r="D13" s="12">
        <v>100</v>
      </c>
      <c r="E13" s="12">
        <f>5*2</f>
        <v>10</v>
      </c>
      <c r="F13" s="12">
        <v>8</v>
      </c>
      <c r="G13" s="12">
        <v>9</v>
      </c>
      <c r="H13" s="12">
        <v>90</v>
      </c>
      <c r="I13" s="12">
        <v>203</v>
      </c>
      <c r="J13" s="16">
        <v>713</v>
      </c>
      <c r="K13" s="16">
        <v>7</v>
      </c>
      <c r="L13" s="17">
        <v>10.6</v>
      </c>
      <c r="M13" s="12">
        <v>4</v>
      </c>
      <c r="N13" s="17">
        <v>34.799999999999997</v>
      </c>
      <c r="O13" s="16">
        <v>4</v>
      </c>
      <c r="P13" s="16">
        <v>97</v>
      </c>
      <c r="Q13" s="16">
        <v>4</v>
      </c>
      <c r="R13" s="17">
        <v>60.8</v>
      </c>
      <c r="S13" s="16">
        <v>2</v>
      </c>
      <c r="T13" s="131">
        <f>E13+F13+K13+M13+O13+Q13+S13</f>
        <v>39</v>
      </c>
    </row>
    <row r="14" spans="1:20" s="4" customFormat="1" ht="25.5" x14ac:dyDescent="0.2">
      <c r="A14" s="12">
        <v>2</v>
      </c>
      <c r="B14" s="11" t="s">
        <v>118</v>
      </c>
      <c r="C14" s="12">
        <v>3.81</v>
      </c>
      <c r="D14" s="16">
        <f>(C14*100)/C13</f>
        <v>104.95867768595042</v>
      </c>
      <c r="E14" s="12">
        <f>5*2</f>
        <v>10</v>
      </c>
      <c r="F14" s="12">
        <v>8</v>
      </c>
      <c r="G14" s="12">
        <v>9</v>
      </c>
      <c r="H14" s="12">
        <v>101</v>
      </c>
      <c r="I14" s="12">
        <v>204</v>
      </c>
      <c r="J14" s="12">
        <v>740</v>
      </c>
      <c r="K14" s="12">
        <v>9</v>
      </c>
      <c r="L14" s="17">
        <v>10.4</v>
      </c>
      <c r="M14" s="12">
        <v>4</v>
      </c>
      <c r="N14" s="12">
        <v>35.799999999999997</v>
      </c>
      <c r="O14" s="12">
        <v>5</v>
      </c>
      <c r="P14" s="12">
        <v>142</v>
      </c>
      <c r="Q14" s="12">
        <v>9</v>
      </c>
      <c r="R14" s="17">
        <v>61</v>
      </c>
      <c r="S14" s="12">
        <v>3</v>
      </c>
      <c r="T14" s="131">
        <f>E14+F14+K14+M14+O14+Q14+S14</f>
        <v>48</v>
      </c>
    </row>
    <row r="15" spans="1:20" s="4" customFormat="1" ht="12.75" x14ac:dyDescent="0.2">
      <c r="A15" s="12">
        <v>3</v>
      </c>
      <c r="B15" s="11" t="s">
        <v>119</v>
      </c>
      <c r="C15" s="12">
        <v>3.76</v>
      </c>
      <c r="D15" s="16">
        <f>(C15*100)/C13</f>
        <v>103.58126721763085</v>
      </c>
      <c r="E15" s="12">
        <f>5*2</f>
        <v>10</v>
      </c>
      <c r="F15" s="12">
        <v>8</v>
      </c>
      <c r="G15" s="12">
        <v>9</v>
      </c>
      <c r="H15" s="12">
        <v>86</v>
      </c>
      <c r="I15" s="12">
        <v>203</v>
      </c>
      <c r="J15" s="12">
        <v>714</v>
      </c>
      <c r="K15" s="12">
        <v>7</v>
      </c>
      <c r="L15" s="17">
        <v>11.3</v>
      </c>
      <c r="M15" s="12">
        <v>5</v>
      </c>
      <c r="N15" s="17">
        <v>36</v>
      </c>
      <c r="O15" s="12">
        <v>5</v>
      </c>
      <c r="P15" s="12">
        <v>157</v>
      </c>
      <c r="Q15" s="12">
        <v>9</v>
      </c>
      <c r="R15" s="17">
        <v>61.1</v>
      </c>
      <c r="S15" s="12">
        <v>3</v>
      </c>
      <c r="T15" s="131">
        <f>E15+F15+K15+M15+O15+Q15+S15</f>
        <v>47</v>
      </c>
    </row>
    <row r="16" spans="1:20" s="4" customFormat="1" ht="12.75" x14ac:dyDescent="0.2">
      <c r="A16" s="5" t="s">
        <v>120</v>
      </c>
      <c r="T16" s="146"/>
    </row>
    <row r="17" spans="1:20" s="4" customFormat="1" ht="12.75" x14ac:dyDescent="0.2">
      <c r="A17" s="12">
        <v>1</v>
      </c>
      <c r="B17" s="11" t="s">
        <v>232</v>
      </c>
      <c r="C17" s="12">
        <v>7.03</v>
      </c>
      <c r="D17" s="12">
        <v>100</v>
      </c>
      <c r="E17" s="12">
        <f>5*2</f>
        <v>10</v>
      </c>
      <c r="F17" s="12">
        <v>8</v>
      </c>
      <c r="G17" s="12">
        <v>9</v>
      </c>
      <c r="H17" s="12">
        <v>112</v>
      </c>
      <c r="I17" s="12">
        <v>210</v>
      </c>
      <c r="J17" s="12">
        <v>762</v>
      </c>
      <c r="K17" s="12">
        <v>9</v>
      </c>
      <c r="L17" s="12">
        <v>8.6</v>
      </c>
      <c r="M17" s="12">
        <v>2</v>
      </c>
      <c r="N17" s="12">
        <v>35.700000000000003</v>
      </c>
      <c r="O17" s="12">
        <v>5</v>
      </c>
      <c r="P17" s="12">
        <v>192</v>
      </c>
      <c r="Q17" s="12">
        <v>5</v>
      </c>
      <c r="R17" s="12">
        <v>61.3</v>
      </c>
      <c r="S17" s="12">
        <v>3</v>
      </c>
      <c r="T17" s="131">
        <f>E17+F17+K17+M17+O17+Q17+S17</f>
        <v>42</v>
      </c>
    </row>
    <row r="18" spans="1:20" s="4" customFormat="1" ht="25.5" x14ac:dyDescent="0.2">
      <c r="A18" s="12">
        <v>2</v>
      </c>
      <c r="B18" s="11" t="s">
        <v>118</v>
      </c>
      <c r="C18" s="14">
        <v>7.3</v>
      </c>
      <c r="D18" s="16">
        <f>(C18*100)/C17</f>
        <v>103.84068278805121</v>
      </c>
      <c r="E18" s="12">
        <f>5*2</f>
        <v>10</v>
      </c>
      <c r="F18" s="12">
        <v>8</v>
      </c>
      <c r="G18" s="12">
        <v>8</v>
      </c>
      <c r="H18" s="12">
        <v>116</v>
      </c>
      <c r="I18" s="12">
        <v>206</v>
      </c>
      <c r="J18" s="12">
        <v>783</v>
      </c>
      <c r="K18" s="12">
        <v>9</v>
      </c>
      <c r="L18" s="12">
        <v>8.1999999999999993</v>
      </c>
      <c r="M18" s="12">
        <v>2</v>
      </c>
      <c r="N18" s="12">
        <v>33.6</v>
      </c>
      <c r="O18" s="12">
        <v>4</v>
      </c>
      <c r="P18" s="12">
        <v>242</v>
      </c>
      <c r="Q18" s="12">
        <v>1</v>
      </c>
      <c r="R18" s="12">
        <v>61.8</v>
      </c>
      <c r="S18" s="12">
        <v>3</v>
      </c>
      <c r="T18" s="131">
        <f>E18+F18+K18+M18+O18+Q18+S18</f>
        <v>37</v>
      </c>
    </row>
    <row r="19" spans="1:20" s="4" customFormat="1" ht="12.75" x14ac:dyDescent="0.2">
      <c r="A19" s="12">
        <v>3</v>
      </c>
      <c r="B19" s="11" t="s">
        <v>119</v>
      </c>
      <c r="C19" s="12">
        <v>6.73</v>
      </c>
      <c r="D19" s="16">
        <f>(C19*100)/C17</f>
        <v>95.732574679943099</v>
      </c>
      <c r="E19" s="12">
        <f>5*2</f>
        <v>10</v>
      </c>
      <c r="F19" s="12">
        <v>8</v>
      </c>
      <c r="G19" s="12">
        <v>9</v>
      </c>
      <c r="H19" s="12">
        <v>108</v>
      </c>
      <c r="I19" s="12">
        <v>210</v>
      </c>
      <c r="J19" s="12">
        <v>768</v>
      </c>
      <c r="K19" s="12">
        <v>9</v>
      </c>
      <c r="L19" s="12">
        <v>8.6999999999999993</v>
      </c>
      <c r="M19" s="12">
        <v>2</v>
      </c>
      <c r="N19" s="17">
        <v>37</v>
      </c>
      <c r="O19" s="12">
        <v>5</v>
      </c>
      <c r="P19" s="12">
        <v>265</v>
      </c>
      <c r="Q19" s="12">
        <v>1</v>
      </c>
      <c r="R19" s="12">
        <v>61.1</v>
      </c>
      <c r="S19" s="12">
        <v>3</v>
      </c>
      <c r="T19" s="131">
        <f>E19+F19+K19+M19+O19+Q19+S19</f>
        <v>38</v>
      </c>
    </row>
    <row r="20" spans="1:20" s="4" customFormat="1" ht="12.75" x14ac:dyDescent="0.2">
      <c r="A20" s="5" t="s">
        <v>29</v>
      </c>
      <c r="T20" s="146"/>
    </row>
    <row r="21" spans="1:20" s="4" customFormat="1" ht="12.75" x14ac:dyDescent="0.2">
      <c r="A21" s="12">
        <v>1</v>
      </c>
      <c r="B21" s="11" t="s">
        <v>232</v>
      </c>
      <c r="C21" s="14">
        <f t="shared" ref="C21:J21" si="0">(C9+C13+C17)/3</f>
        <v>6.82</v>
      </c>
      <c r="D21" s="12">
        <v>100</v>
      </c>
      <c r="E21" s="12">
        <f>5*2</f>
        <v>10</v>
      </c>
      <c r="F21" s="16">
        <f t="shared" si="0"/>
        <v>7.666666666666667</v>
      </c>
      <c r="G21" s="12">
        <f t="shared" si="0"/>
        <v>9</v>
      </c>
      <c r="H21" s="16">
        <f t="shared" si="0"/>
        <v>104.66666666666667</v>
      </c>
      <c r="I21" s="16">
        <f t="shared" si="0"/>
        <v>209.66666666666666</v>
      </c>
      <c r="J21" s="16">
        <f t="shared" si="0"/>
        <v>748.66666666666663</v>
      </c>
      <c r="K21" s="16">
        <v>9</v>
      </c>
      <c r="L21" s="17">
        <f>(L9+L13+L17)/3</f>
        <v>9.5333333333333332</v>
      </c>
      <c r="M21" s="12">
        <v>3</v>
      </c>
      <c r="N21" s="12">
        <f>(N9+N13+N17)/3</f>
        <v>37.299999999999997</v>
      </c>
      <c r="O21" s="16">
        <v>5</v>
      </c>
      <c r="P21" s="16">
        <f>(P9+P13+P17)/3</f>
        <v>169.66666666666666</v>
      </c>
      <c r="Q21" s="12">
        <v>9</v>
      </c>
      <c r="R21" s="17">
        <f>(R9+R13+R17)/3</f>
        <v>61.033333333333331</v>
      </c>
      <c r="S21" s="16">
        <v>3</v>
      </c>
      <c r="T21" s="131">
        <f>E21+F21+K21+M21+O21+Q21+S21</f>
        <v>46.666666666666671</v>
      </c>
    </row>
    <row r="22" spans="1:20" s="4" customFormat="1" ht="25.5" x14ac:dyDescent="0.2">
      <c r="A22" s="12">
        <v>2</v>
      </c>
      <c r="B22" s="11" t="s">
        <v>118</v>
      </c>
      <c r="C22" s="14">
        <f t="shared" ref="C22:R23" si="1">(C10+C14+C18)/3</f>
        <v>7.3133333333333335</v>
      </c>
      <c r="D22" s="16">
        <f>(C22*100)/C21</f>
        <v>107.2336265884653</v>
      </c>
      <c r="E22" s="16">
        <f>6*2</f>
        <v>12</v>
      </c>
      <c r="F22" s="16">
        <f t="shared" si="1"/>
        <v>8</v>
      </c>
      <c r="G22" s="16">
        <f t="shared" si="1"/>
        <v>8.6666666666666661</v>
      </c>
      <c r="H22" s="16">
        <f t="shared" si="1"/>
        <v>111.66666666666667</v>
      </c>
      <c r="I22" s="16">
        <f t="shared" si="1"/>
        <v>208.66666666666666</v>
      </c>
      <c r="J22" s="16">
        <f t="shared" si="1"/>
        <v>772.33333333333337</v>
      </c>
      <c r="K22" s="12">
        <v>9</v>
      </c>
      <c r="L22" s="17">
        <f t="shared" si="1"/>
        <v>9.3333333333333339</v>
      </c>
      <c r="M22" s="12">
        <v>3</v>
      </c>
      <c r="N22" s="12">
        <f t="shared" si="1"/>
        <v>36.699999999999996</v>
      </c>
      <c r="O22" s="12">
        <v>5</v>
      </c>
      <c r="P22" s="16">
        <f t="shared" si="1"/>
        <v>208.66666666666666</v>
      </c>
      <c r="Q22" s="16">
        <v>3</v>
      </c>
      <c r="R22" s="17">
        <f t="shared" si="1"/>
        <v>61.233333333333327</v>
      </c>
      <c r="S22" s="16">
        <v>3</v>
      </c>
      <c r="T22" s="131">
        <f>E22+F22+K22+M22+O22+Q22+S22</f>
        <v>43</v>
      </c>
    </row>
    <row r="23" spans="1:20" s="4" customFormat="1" ht="12.75" x14ac:dyDescent="0.2">
      <c r="A23" s="12">
        <v>3</v>
      </c>
      <c r="B23" s="11" t="s">
        <v>119</v>
      </c>
      <c r="C23" s="14">
        <f t="shared" si="1"/>
        <v>6.9066666666666663</v>
      </c>
      <c r="D23" s="16">
        <f>(C23*100)/C21</f>
        <v>101.27077223851417</v>
      </c>
      <c r="E23" s="12">
        <f>5*2</f>
        <v>10</v>
      </c>
      <c r="F23" s="16">
        <f t="shared" si="1"/>
        <v>7.666666666666667</v>
      </c>
      <c r="G23" s="12">
        <f t="shared" si="1"/>
        <v>9</v>
      </c>
      <c r="H23" s="16">
        <f t="shared" si="1"/>
        <v>103.66666666666667</v>
      </c>
      <c r="I23" s="16">
        <f t="shared" si="1"/>
        <v>209.66666666666666</v>
      </c>
      <c r="J23" s="12">
        <f t="shared" si="1"/>
        <v>757</v>
      </c>
      <c r="K23" s="16">
        <v>9</v>
      </c>
      <c r="L23" s="12">
        <f t="shared" si="1"/>
        <v>9.9</v>
      </c>
      <c r="M23" s="16">
        <v>3</v>
      </c>
      <c r="N23" s="17">
        <f t="shared" si="1"/>
        <v>38.633333333333333</v>
      </c>
      <c r="O23" s="16">
        <v>6</v>
      </c>
      <c r="P23" s="12">
        <f t="shared" si="1"/>
        <v>176</v>
      </c>
      <c r="Q23" s="16">
        <v>5</v>
      </c>
      <c r="R23" s="17">
        <f t="shared" si="1"/>
        <v>60.766666666666673</v>
      </c>
      <c r="S23" s="16">
        <v>2</v>
      </c>
      <c r="T23" s="131">
        <f>E23+F23+K23+M23+O23+Q23+S23</f>
        <v>42.666666666666671</v>
      </c>
    </row>
    <row r="26" spans="1:20" ht="15.75" x14ac:dyDescent="0.25">
      <c r="B26" s="133" t="s">
        <v>218</v>
      </c>
      <c r="C26" s="134"/>
      <c r="D26" s="134"/>
      <c r="E26" s="134"/>
    </row>
  </sheetData>
  <mergeCells count="9">
    <mergeCell ref="P6:Q6"/>
    <mergeCell ref="R6:S6"/>
    <mergeCell ref="T6:T7"/>
    <mergeCell ref="A6:A7"/>
    <mergeCell ref="B6:B7"/>
    <mergeCell ref="C6:E6"/>
    <mergeCell ref="J6:K6"/>
    <mergeCell ref="L6:M6"/>
    <mergeCell ref="N6:O6"/>
  </mergeCells>
  <phoneticPr fontId="0" type="noConversion"/>
  <pageMargins left="0.25" right="0.25" top="0.75" bottom="0.75" header="0.3" footer="0.3"/>
  <pageSetup orientation="landscape" r:id="rId1"/>
  <headerFooter>
    <oddHeader>&amp;CZiemas rudzu saimniecisko īpašību novērtējums 2013.gadā.</oddHeader>
    <oddFooter>&amp;CLapa &amp;P no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9"/>
  <sheetViews>
    <sheetView workbookViewId="0">
      <selection activeCell="I30" sqref="I30"/>
    </sheetView>
  </sheetViews>
  <sheetFormatPr defaultRowHeight="14.25" x14ac:dyDescent="0.2"/>
  <cols>
    <col min="1" max="1" width="3.28515625" style="3" customWidth="1"/>
    <col min="2" max="2" width="13.85546875" style="3" customWidth="1"/>
    <col min="3" max="3" width="7.5703125" style="3" customWidth="1"/>
    <col min="4" max="4" width="9.85546875" style="3" customWidth="1"/>
    <col min="5" max="5" width="6.140625" style="3" customWidth="1"/>
    <col min="6" max="6" width="6.28515625" style="3" customWidth="1"/>
    <col min="7" max="7" width="7.28515625" style="3" customWidth="1"/>
    <col min="8" max="8" width="9" style="3" customWidth="1"/>
    <col min="9" max="9" width="10.85546875" style="3" customWidth="1"/>
    <col min="10" max="10" width="5" style="3" customWidth="1"/>
    <col min="11" max="11" width="7.42578125" style="3" customWidth="1"/>
    <col min="12" max="12" width="5.140625" style="3" customWidth="1"/>
    <col min="13" max="13" width="6.7109375" style="3" customWidth="1"/>
    <col min="14" max="14" width="7.28515625" style="3" customWidth="1"/>
    <col min="15" max="15" width="6.140625" style="3" customWidth="1"/>
    <col min="16" max="16" width="5.5703125" style="3" customWidth="1"/>
    <col min="17" max="17" width="6.7109375" style="3" customWidth="1"/>
    <col min="18" max="18" width="8.140625" style="3" customWidth="1"/>
    <col min="19" max="16384" width="9.140625" style="3"/>
  </cols>
  <sheetData>
    <row r="2" spans="1:18" ht="15" customHeight="1" x14ac:dyDescent="0.2">
      <c r="A2" s="1"/>
      <c r="B2" s="1"/>
      <c r="C2" s="22" t="s">
        <v>217</v>
      </c>
      <c r="D2" s="1"/>
      <c r="E2" s="1"/>
      <c r="F2" s="1"/>
      <c r="G2" s="1"/>
      <c r="H2" s="1"/>
      <c r="I2" s="1"/>
      <c r="L2" s="1"/>
      <c r="M2" s="1"/>
      <c r="N2" s="1"/>
      <c r="O2" s="1"/>
      <c r="R2" s="1"/>
    </row>
    <row r="4" spans="1:18" ht="15" x14ac:dyDescent="0.2">
      <c r="A4" s="2" t="s">
        <v>202</v>
      </c>
    </row>
    <row r="6" spans="1:18" s="4" customFormat="1" ht="63.75" customHeight="1" x14ac:dyDescent="0.2">
      <c r="A6" s="152" t="s">
        <v>12</v>
      </c>
      <c r="B6" s="152" t="s">
        <v>0</v>
      </c>
      <c r="C6" s="152" t="s">
        <v>88</v>
      </c>
      <c r="D6" s="152"/>
      <c r="E6" s="152"/>
      <c r="F6" s="11" t="s">
        <v>46</v>
      </c>
      <c r="G6" s="11" t="s">
        <v>219</v>
      </c>
      <c r="H6" s="11" t="s">
        <v>228</v>
      </c>
      <c r="I6" s="11" t="s">
        <v>60</v>
      </c>
      <c r="J6" s="152" t="s">
        <v>215</v>
      </c>
      <c r="K6" s="152"/>
      <c r="L6" s="152" t="s">
        <v>90</v>
      </c>
      <c r="M6" s="152"/>
      <c r="N6" s="152" t="s">
        <v>212</v>
      </c>
      <c r="O6" s="152"/>
      <c r="P6" s="152" t="s">
        <v>27</v>
      </c>
      <c r="Q6" s="152"/>
      <c r="R6" s="153" t="s">
        <v>30</v>
      </c>
    </row>
    <row r="7" spans="1:18" s="4" customFormat="1" ht="29.25" customHeight="1" x14ac:dyDescent="0.2">
      <c r="A7" s="152"/>
      <c r="B7" s="152"/>
      <c r="C7" s="12" t="s">
        <v>67</v>
      </c>
      <c r="D7" s="12" t="s">
        <v>44</v>
      </c>
      <c r="E7" s="12" t="s">
        <v>6</v>
      </c>
      <c r="F7" s="12" t="s">
        <v>45</v>
      </c>
      <c r="G7" s="12" t="s">
        <v>6</v>
      </c>
      <c r="H7" s="12" t="s">
        <v>59</v>
      </c>
      <c r="I7" s="12" t="s">
        <v>61</v>
      </c>
      <c r="J7" s="12" t="s">
        <v>89</v>
      </c>
      <c r="K7" s="12" t="s">
        <v>6</v>
      </c>
      <c r="L7" s="12" t="s">
        <v>15</v>
      </c>
      <c r="M7" s="13" t="s">
        <v>6</v>
      </c>
      <c r="N7" s="13" t="s">
        <v>63</v>
      </c>
      <c r="O7" s="13" t="s">
        <v>6</v>
      </c>
      <c r="P7" s="12" t="s">
        <v>15</v>
      </c>
      <c r="Q7" s="12" t="s">
        <v>6</v>
      </c>
      <c r="R7" s="153"/>
    </row>
    <row r="8" spans="1:18" s="4" customFormat="1" ht="12.75" x14ac:dyDescent="0.2">
      <c r="A8" s="5" t="s">
        <v>117</v>
      </c>
      <c r="R8" s="144"/>
    </row>
    <row r="9" spans="1:18" s="4" customFormat="1" ht="21.75" customHeight="1" x14ac:dyDescent="0.2">
      <c r="A9" s="12">
        <v>1</v>
      </c>
      <c r="B9" s="11" t="s">
        <v>235</v>
      </c>
      <c r="C9" s="14">
        <v>5.61</v>
      </c>
      <c r="D9" s="12">
        <v>100</v>
      </c>
      <c r="E9" s="12">
        <f>5*2</f>
        <v>10</v>
      </c>
      <c r="F9" s="12">
        <v>8</v>
      </c>
      <c r="G9" s="12">
        <v>9</v>
      </c>
      <c r="H9" s="16">
        <v>73</v>
      </c>
      <c r="I9" s="12">
        <v>202</v>
      </c>
      <c r="J9" s="12">
        <v>589</v>
      </c>
      <c r="K9" s="12">
        <v>3</v>
      </c>
      <c r="L9" s="17">
        <v>12.4</v>
      </c>
      <c r="M9" s="12">
        <v>5</v>
      </c>
      <c r="N9" s="17">
        <v>51.1</v>
      </c>
      <c r="O9" s="16">
        <v>9</v>
      </c>
      <c r="P9" s="17">
        <v>60.6</v>
      </c>
      <c r="Q9" s="12">
        <v>5</v>
      </c>
      <c r="R9" s="131">
        <f>E9+F9+K9+M9+O9+Q9</f>
        <v>40</v>
      </c>
    </row>
    <row r="10" spans="1:18" s="4" customFormat="1" ht="19.5" customHeight="1" x14ac:dyDescent="0.2">
      <c r="A10" s="12">
        <v>2</v>
      </c>
      <c r="B10" s="11" t="s">
        <v>135</v>
      </c>
      <c r="C10" s="14">
        <v>6.23</v>
      </c>
      <c r="D10" s="16">
        <f>(C10*100)/C9</f>
        <v>111.05169340463458</v>
      </c>
      <c r="E10" s="12">
        <f>6*2</f>
        <v>12</v>
      </c>
      <c r="F10" s="12">
        <v>8</v>
      </c>
      <c r="G10" s="12">
        <v>9</v>
      </c>
      <c r="H10" s="12">
        <v>70</v>
      </c>
      <c r="I10" s="12">
        <v>202</v>
      </c>
      <c r="J10" s="12">
        <v>647</v>
      </c>
      <c r="K10" s="12">
        <v>6</v>
      </c>
      <c r="L10" s="17">
        <v>12.8</v>
      </c>
      <c r="M10" s="12">
        <v>5</v>
      </c>
      <c r="N10" s="12">
        <v>53.6</v>
      </c>
      <c r="O10" s="12">
        <v>9</v>
      </c>
      <c r="P10" s="12">
        <v>60.6</v>
      </c>
      <c r="Q10" s="12">
        <v>5</v>
      </c>
      <c r="R10" s="131">
        <f>E10+F10+K10+M10+O10+Q10</f>
        <v>45</v>
      </c>
    </row>
    <row r="11" spans="1:18" s="4" customFormat="1" ht="12.75" x14ac:dyDescent="0.2">
      <c r="A11" s="5" t="s">
        <v>234</v>
      </c>
      <c r="R11" s="146"/>
    </row>
    <row r="12" spans="1:18" s="4" customFormat="1" ht="23.25" customHeight="1" x14ac:dyDescent="0.2">
      <c r="A12" s="12">
        <v>1</v>
      </c>
      <c r="B12" s="11" t="s">
        <v>235</v>
      </c>
      <c r="C12" s="14">
        <v>7.43</v>
      </c>
      <c r="D12" s="12">
        <v>100</v>
      </c>
      <c r="E12" s="12">
        <f>5*2</f>
        <v>10</v>
      </c>
      <c r="F12" s="12">
        <v>9</v>
      </c>
      <c r="G12" s="12">
        <v>9</v>
      </c>
      <c r="H12" s="12">
        <v>88</v>
      </c>
      <c r="I12" s="12">
        <v>199</v>
      </c>
      <c r="J12" s="16">
        <v>603</v>
      </c>
      <c r="K12" s="16">
        <v>5</v>
      </c>
      <c r="L12" s="17">
        <v>13.7</v>
      </c>
      <c r="M12" s="12">
        <v>6</v>
      </c>
      <c r="N12" s="14">
        <v>54.12</v>
      </c>
      <c r="O12" s="16">
        <v>9</v>
      </c>
      <c r="P12" s="17">
        <v>60.5</v>
      </c>
      <c r="Q12" s="16">
        <v>5</v>
      </c>
      <c r="R12" s="131">
        <f>E12+F12+K12+M12+O12+Q12</f>
        <v>44</v>
      </c>
    </row>
    <row r="13" spans="1:18" s="4" customFormat="1" ht="16.5" customHeight="1" x14ac:dyDescent="0.2">
      <c r="A13" s="12">
        <v>2</v>
      </c>
      <c r="B13" s="11" t="s">
        <v>135</v>
      </c>
      <c r="C13" s="12">
        <v>7.41</v>
      </c>
      <c r="D13" s="16">
        <f>(C13*100)/C12</f>
        <v>99.730820995962318</v>
      </c>
      <c r="E13" s="12">
        <f>5*2</f>
        <v>10</v>
      </c>
      <c r="F13" s="12">
        <v>9</v>
      </c>
      <c r="G13" s="12">
        <v>9</v>
      </c>
      <c r="H13" s="12">
        <v>86</v>
      </c>
      <c r="I13" s="12">
        <v>199</v>
      </c>
      <c r="J13" s="12">
        <v>610</v>
      </c>
      <c r="K13" s="12">
        <v>5</v>
      </c>
      <c r="L13" s="17">
        <v>14.8</v>
      </c>
      <c r="M13" s="12">
        <v>7</v>
      </c>
      <c r="N13" s="12">
        <v>55.04</v>
      </c>
      <c r="O13" s="12">
        <v>9</v>
      </c>
      <c r="P13" s="17">
        <v>59.6</v>
      </c>
      <c r="Q13" s="12">
        <v>4</v>
      </c>
      <c r="R13" s="131">
        <f>E13+F13+K13+M13+O13+Q13</f>
        <v>44</v>
      </c>
    </row>
    <row r="14" spans="1:18" s="4" customFormat="1" ht="12.75" x14ac:dyDescent="0.2">
      <c r="A14" s="5" t="s">
        <v>29</v>
      </c>
      <c r="R14" s="146"/>
    </row>
    <row r="15" spans="1:18" s="4" customFormat="1" ht="25.5" x14ac:dyDescent="0.2">
      <c r="A15" s="12">
        <v>1</v>
      </c>
      <c r="B15" s="11" t="s">
        <v>235</v>
      </c>
      <c r="C15" s="14">
        <f>(C9+C12)/2</f>
        <v>6.52</v>
      </c>
      <c r="D15" s="12">
        <v>100</v>
      </c>
      <c r="E15" s="12">
        <f>5*2</f>
        <v>10</v>
      </c>
      <c r="F15" s="16">
        <f t="shared" ref="F15:J16" si="0">(F9+F12)/2</f>
        <v>8.5</v>
      </c>
      <c r="G15" s="12">
        <f t="shared" si="0"/>
        <v>9</v>
      </c>
      <c r="H15" s="16">
        <f t="shared" si="0"/>
        <v>80.5</v>
      </c>
      <c r="I15" s="16">
        <f t="shared" si="0"/>
        <v>200.5</v>
      </c>
      <c r="J15" s="16">
        <f t="shared" si="0"/>
        <v>596</v>
      </c>
      <c r="K15" s="16">
        <v>4</v>
      </c>
      <c r="L15" s="17">
        <f>(L9+L12)/2</f>
        <v>13.05</v>
      </c>
      <c r="M15" s="12">
        <v>6</v>
      </c>
      <c r="N15" s="12">
        <f>(N9+N12)/2</f>
        <v>52.61</v>
      </c>
      <c r="O15" s="16">
        <v>9</v>
      </c>
      <c r="P15" s="17">
        <f>(P9+P12)/2</f>
        <v>60.55</v>
      </c>
      <c r="Q15" s="16">
        <v>5</v>
      </c>
      <c r="R15" s="131">
        <f>E15+F15+K15+M15+O15+Q15</f>
        <v>42.5</v>
      </c>
    </row>
    <row r="16" spans="1:18" s="4" customFormat="1" ht="12.75" x14ac:dyDescent="0.2">
      <c r="A16" s="12">
        <v>2</v>
      </c>
      <c r="B16" s="11" t="s">
        <v>135</v>
      </c>
      <c r="C16" s="14">
        <f>(C10+C13)/2</f>
        <v>6.82</v>
      </c>
      <c r="D16" s="16">
        <f>(C16*100)/C15</f>
        <v>104.60122699386504</v>
      </c>
      <c r="E16" s="16">
        <f>5*2</f>
        <v>10</v>
      </c>
      <c r="F16" s="16">
        <f t="shared" si="0"/>
        <v>8.5</v>
      </c>
      <c r="G16" s="16">
        <f t="shared" si="0"/>
        <v>9</v>
      </c>
      <c r="H16" s="16">
        <f t="shared" si="0"/>
        <v>78</v>
      </c>
      <c r="I16" s="16">
        <f t="shared" si="0"/>
        <v>200.5</v>
      </c>
      <c r="J16" s="16">
        <f t="shared" si="0"/>
        <v>628.5</v>
      </c>
      <c r="K16" s="12">
        <v>6</v>
      </c>
      <c r="L16" s="17">
        <f>(L10+L13)/2</f>
        <v>13.8</v>
      </c>
      <c r="M16" s="12">
        <v>6</v>
      </c>
      <c r="N16" s="12">
        <f>(N10+N13)/2</f>
        <v>54.32</v>
      </c>
      <c r="O16" s="12">
        <v>9</v>
      </c>
      <c r="P16" s="17">
        <f>(P10+P13)/2</f>
        <v>60.1</v>
      </c>
      <c r="Q16" s="16">
        <v>4</v>
      </c>
      <c r="R16" s="131">
        <f>E16+F16+K16+M16+O16+Q16</f>
        <v>43.5</v>
      </c>
    </row>
    <row r="19" spans="2:5" ht="15.75" x14ac:dyDescent="0.25">
      <c r="B19" s="133" t="s">
        <v>218</v>
      </c>
      <c r="C19" s="134"/>
      <c r="D19" s="134"/>
      <c r="E19" s="134"/>
    </row>
  </sheetData>
  <mergeCells count="8">
    <mergeCell ref="P6:Q6"/>
    <mergeCell ref="R6:R7"/>
    <mergeCell ref="A6:A7"/>
    <mergeCell ref="B6:B7"/>
    <mergeCell ref="C6:E6"/>
    <mergeCell ref="J6:K6"/>
    <mergeCell ref="L6:M6"/>
    <mergeCell ref="N6:O6"/>
  </mergeCells>
  <phoneticPr fontId="0" type="noConversion"/>
  <pageMargins left="0.25" right="0.25" top="0.75" bottom="0.75" header="0.3" footer="0.3"/>
  <pageSetup orientation="landscape" r:id="rId1"/>
  <headerFooter>
    <oddHeader>&amp;CZiemas miežu saimniecisko īpašību novērtējums 2013.gadā.</oddHeader>
    <oddFooter>&amp;CLapa &amp;P no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90"/>
  <sheetViews>
    <sheetView topLeftCell="A7" workbookViewId="0">
      <selection activeCell="J101" sqref="J101"/>
    </sheetView>
  </sheetViews>
  <sheetFormatPr defaultRowHeight="14.25" x14ac:dyDescent="0.2"/>
  <cols>
    <col min="1" max="1" width="3.28515625" style="3" customWidth="1"/>
    <col min="2" max="2" width="15" style="3" customWidth="1"/>
    <col min="3" max="3" width="6.5703125" style="3" customWidth="1"/>
    <col min="4" max="4" width="5.7109375" style="3" customWidth="1"/>
    <col min="5" max="5" width="5.5703125" style="3" customWidth="1"/>
    <col min="6" max="6" width="5.7109375" style="3" customWidth="1"/>
    <col min="7" max="7" width="6.28515625" style="3" customWidth="1"/>
    <col min="8" max="8" width="7" style="3" customWidth="1"/>
    <col min="9" max="9" width="6.85546875" style="3" customWidth="1"/>
    <col min="10" max="10" width="5.5703125" style="3" customWidth="1"/>
    <col min="11" max="11" width="5.140625" style="3" customWidth="1"/>
    <col min="12" max="12" width="6.42578125" style="3" customWidth="1"/>
    <col min="13" max="13" width="5.28515625" style="3" customWidth="1"/>
    <col min="14" max="14" width="5.42578125" style="3" customWidth="1"/>
    <col min="15" max="15" width="5" style="3" customWidth="1"/>
    <col min="16" max="16" width="6" style="3" customWidth="1"/>
    <col min="17" max="17" width="5.140625" style="3" customWidth="1"/>
    <col min="18" max="18" width="6.5703125" style="3" customWidth="1"/>
    <col min="19" max="19" width="5.7109375" style="3" customWidth="1"/>
    <col min="20" max="20" width="6.42578125" style="3" customWidth="1"/>
    <col min="21" max="21" width="4.7109375" style="3" customWidth="1"/>
    <col min="22" max="22" width="5.85546875" style="3" customWidth="1"/>
    <col min="23" max="23" width="5.28515625" style="3" customWidth="1"/>
    <col min="24" max="24" width="8" style="3" customWidth="1"/>
    <col min="25" max="16384" width="9.140625" style="3"/>
  </cols>
  <sheetData>
    <row r="2" spans="1:24" ht="15" customHeight="1" x14ac:dyDescent="0.2">
      <c r="A2" s="1"/>
      <c r="B2" s="1"/>
      <c r="C2" s="22" t="s">
        <v>226</v>
      </c>
      <c r="D2" s="1"/>
      <c r="E2" s="1"/>
      <c r="F2" s="1"/>
      <c r="G2" s="1"/>
      <c r="H2" s="1"/>
      <c r="I2" s="1"/>
      <c r="L2" s="1"/>
      <c r="M2" s="1"/>
      <c r="N2" s="1"/>
      <c r="O2" s="1"/>
      <c r="P2" s="1"/>
      <c r="Q2" s="1"/>
      <c r="X2" s="1"/>
    </row>
    <row r="3" spans="1:24" ht="7.5" customHeight="1" x14ac:dyDescent="0.2"/>
    <row r="4" spans="1:24" ht="15" x14ac:dyDescent="0.2">
      <c r="A4" s="2" t="s">
        <v>203</v>
      </c>
    </row>
    <row r="6" spans="1:24" s="4" customFormat="1" ht="68.25" customHeight="1" x14ac:dyDescent="0.2">
      <c r="A6" s="152" t="s">
        <v>12</v>
      </c>
      <c r="B6" s="152" t="s">
        <v>0</v>
      </c>
      <c r="C6" s="152" t="s">
        <v>237</v>
      </c>
      <c r="D6" s="152"/>
      <c r="E6" s="152"/>
      <c r="F6" s="11" t="s">
        <v>46</v>
      </c>
      <c r="G6" s="11" t="s">
        <v>219</v>
      </c>
      <c r="H6" s="11" t="s">
        <v>229</v>
      </c>
      <c r="I6" s="11" t="s">
        <v>60</v>
      </c>
      <c r="J6" s="152" t="s">
        <v>236</v>
      </c>
      <c r="K6" s="152"/>
      <c r="L6" s="152" t="s">
        <v>90</v>
      </c>
      <c r="M6" s="152"/>
      <c r="N6" s="152" t="s">
        <v>212</v>
      </c>
      <c r="O6" s="152"/>
      <c r="P6" s="152" t="s">
        <v>91</v>
      </c>
      <c r="Q6" s="152"/>
      <c r="R6" s="152" t="s">
        <v>92</v>
      </c>
      <c r="S6" s="152"/>
      <c r="T6" s="152" t="s">
        <v>94</v>
      </c>
      <c r="U6" s="152"/>
      <c r="V6" s="152" t="s">
        <v>27</v>
      </c>
      <c r="W6" s="152"/>
      <c r="X6" s="153" t="s">
        <v>30</v>
      </c>
    </row>
    <row r="7" spans="1:24" s="4" customFormat="1" ht="33.75" customHeight="1" x14ac:dyDescent="0.2">
      <c r="A7" s="152"/>
      <c r="B7" s="152"/>
      <c r="C7" s="12" t="s">
        <v>67</v>
      </c>
      <c r="D7" s="12" t="s">
        <v>44</v>
      </c>
      <c r="E7" s="12" t="s">
        <v>6</v>
      </c>
      <c r="F7" s="12" t="s">
        <v>45</v>
      </c>
      <c r="G7" s="12" t="s">
        <v>6</v>
      </c>
      <c r="H7" s="12" t="s">
        <v>59</v>
      </c>
      <c r="I7" s="12" t="s">
        <v>61</v>
      </c>
      <c r="J7" s="12" t="s">
        <v>89</v>
      </c>
      <c r="K7" s="12" t="s">
        <v>6</v>
      </c>
      <c r="L7" s="12" t="s">
        <v>15</v>
      </c>
      <c r="M7" s="13" t="s">
        <v>6</v>
      </c>
      <c r="N7" s="13" t="s">
        <v>63</v>
      </c>
      <c r="O7" s="13" t="s">
        <v>6</v>
      </c>
      <c r="P7" s="12" t="s">
        <v>15</v>
      </c>
      <c r="Q7" s="12" t="s">
        <v>6</v>
      </c>
      <c r="R7" s="12" t="s">
        <v>93</v>
      </c>
      <c r="S7" s="12" t="s">
        <v>6</v>
      </c>
      <c r="T7" s="12" t="s">
        <v>95</v>
      </c>
      <c r="U7" s="12" t="s">
        <v>6</v>
      </c>
      <c r="V7" s="12" t="s">
        <v>15</v>
      </c>
      <c r="W7" s="12" t="s">
        <v>6</v>
      </c>
      <c r="X7" s="153"/>
    </row>
    <row r="8" spans="1:24" s="4" customFormat="1" ht="12.75" x14ac:dyDescent="0.2">
      <c r="A8" s="5" t="s">
        <v>234</v>
      </c>
      <c r="X8" s="144"/>
    </row>
    <row r="9" spans="1:24" s="4" customFormat="1" ht="12.75" x14ac:dyDescent="0.2">
      <c r="A9" s="12">
        <v>1</v>
      </c>
      <c r="B9" s="11" t="s">
        <v>96</v>
      </c>
      <c r="C9" s="14">
        <f>(8.56+8.81)/2</f>
        <v>8.6850000000000005</v>
      </c>
      <c r="D9" s="12">
        <v>100</v>
      </c>
      <c r="E9" s="12">
        <f>5*2</f>
        <v>10</v>
      </c>
      <c r="F9" s="12">
        <v>8</v>
      </c>
      <c r="G9" s="12">
        <f>(7+9)/2</f>
        <v>8</v>
      </c>
      <c r="H9" s="16">
        <f>(86+83)/2</f>
        <v>84.5</v>
      </c>
      <c r="I9" s="12">
        <v>210</v>
      </c>
      <c r="J9" s="12">
        <f>(813+811)/2</f>
        <v>812</v>
      </c>
      <c r="K9" s="12">
        <v>9</v>
      </c>
      <c r="L9" s="17">
        <v>14.5</v>
      </c>
      <c r="M9" s="12">
        <v>8</v>
      </c>
      <c r="N9" s="17">
        <f>(43.2+42.2)/2</f>
        <v>42.7</v>
      </c>
      <c r="O9" s="16">
        <v>5</v>
      </c>
      <c r="P9" s="12">
        <f>(31.6+32)/2</f>
        <v>31.8</v>
      </c>
      <c r="Q9" s="12">
        <v>9</v>
      </c>
      <c r="R9" s="12">
        <f>(63.3+63.7)/2</f>
        <v>63.5</v>
      </c>
      <c r="S9" s="12">
        <v>9</v>
      </c>
      <c r="T9" s="12">
        <f>(315+312)/2</f>
        <v>313.5</v>
      </c>
      <c r="U9" s="12">
        <v>7</v>
      </c>
      <c r="V9" s="12">
        <f>(66.1+66)/2</f>
        <v>66.05</v>
      </c>
      <c r="W9" s="12">
        <v>3</v>
      </c>
      <c r="X9" s="131">
        <f>E9+F9+K9+M9+O9+Q9+S9+U9+W9</f>
        <v>68</v>
      </c>
    </row>
    <row r="10" spans="1:24" s="4" customFormat="1" ht="12.75" x14ac:dyDescent="0.2">
      <c r="A10" s="12">
        <v>2</v>
      </c>
      <c r="B10" s="11" t="s">
        <v>97</v>
      </c>
      <c r="C10" s="14">
        <v>8</v>
      </c>
      <c r="D10" s="16">
        <f>(C10*100)/C9</f>
        <v>92.112838226827861</v>
      </c>
      <c r="E10" s="12">
        <f>4*2</f>
        <v>8</v>
      </c>
      <c r="F10" s="12">
        <v>8</v>
      </c>
      <c r="G10" s="12">
        <v>8</v>
      </c>
      <c r="H10" s="12">
        <v>79</v>
      </c>
      <c r="I10" s="12">
        <v>207</v>
      </c>
      <c r="J10" s="12">
        <v>771</v>
      </c>
      <c r="K10" s="12">
        <v>7</v>
      </c>
      <c r="L10" s="17">
        <v>15.1</v>
      </c>
      <c r="M10" s="12">
        <v>8</v>
      </c>
      <c r="N10" s="12">
        <v>46.3</v>
      </c>
      <c r="O10" s="12">
        <v>6</v>
      </c>
      <c r="P10" s="12">
        <v>32.4</v>
      </c>
      <c r="Q10" s="12">
        <v>9</v>
      </c>
      <c r="R10" s="12">
        <v>61.6</v>
      </c>
      <c r="S10" s="12">
        <v>9</v>
      </c>
      <c r="T10" s="12">
        <v>350</v>
      </c>
      <c r="U10" s="12">
        <v>5</v>
      </c>
      <c r="V10" s="12">
        <v>66.2</v>
      </c>
      <c r="W10" s="12">
        <v>3</v>
      </c>
      <c r="X10" s="131">
        <f t="shared" ref="X10:X27" si="0">E10+F10+K10+M10+O10+Q10+S10+U10+W10</f>
        <v>63</v>
      </c>
    </row>
    <row r="11" spans="1:24" s="4" customFormat="1" ht="12.75" x14ac:dyDescent="0.2">
      <c r="A11" s="12">
        <v>3</v>
      </c>
      <c r="B11" s="11" t="s">
        <v>98</v>
      </c>
      <c r="C11" s="12">
        <v>7.97</v>
      </c>
      <c r="D11" s="16">
        <f>(C11*100)/C9</f>
        <v>91.76741508347726</v>
      </c>
      <c r="E11" s="12">
        <f>4*2</f>
        <v>8</v>
      </c>
      <c r="F11" s="12">
        <v>7</v>
      </c>
      <c r="G11" s="12">
        <v>9</v>
      </c>
      <c r="H11" s="12">
        <v>79</v>
      </c>
      <c r="I11" s="12">
        <v>208</v>
      </c>
      <c r="J11" s="12">
        <v>786</v>
      </c>
      <c r="K11" s="12">
        <v>8</v>
      </c>
      <c r="L11" s="17">
        <v>14.2</v>
      </c>
      <c r="M11" s="12">
        <v>8</v>
      </c>
      <c r="N11" s="17">
        <v>47</v>
      </c>
      <c r="O11" s="12">
        <v>7</v>
      </c>
      <c r="P11" s="12">
        <v>30.1</v>
      </c>
      <c r="Q11" s="12">
        <v>9</v>
      </c>
      <c r="R11" s="12">
        <v>54.3</v>
      </c>
      <c r="S11" s="12">
        <v>8</v>
      </c>
      <c r="T11" s="12">
        <v>306</v>
      </c>
      <c r="U11" s="12">
        <v>7</v>
      </c>
      <c r="V11" s="12">
        <v>67.3</v>
      </c>
      <c r="W11" s="12">
        <v>5</v>
      </c>
      <c r="X11" s="131">
        <f t="shared" si="0"/>
        <v>67</v>
      </c>
    </row>
    <row r="12" spans="1:24" s="4" customFormat="1" ht="12.75" x14ac:dyDescent="0.2">
      <c r="A12" s="12">
        <v>4</v>
      </c>
      <c r="B12" s="11" t="s">
        <v>99</v>
      </c>
      <c r="C12" s="12">
        <v>6.78</v>
      </c>
      <c r="D12" s="16">
        <f>(C12*100)/C9</f>
        <v>78.065630397236617</v>
      </c>
      <c r="E12" s="12">
        <f>3*2</f>
        <v>6</v>
      </c>
      <c r="F12" s="12">
        <v>6</v>
      </c>
      <c r="G12" s="12">
        <v>9</v>
      </c>
      <c r="H12" s="12">
        <v>59</v>
      </c>
      <c r="I12" s="12">
        <v>206</v>
      </c>
      <c r="J12" s="12">
        <v>790</v>
      </c>
      <c r="K12" s="12">
        <v>8</v>
      </c>
      <c r="L12" s="17">
        <v>15.8</v>
      </c>
      <c r="M12" s="12">
        <v>8</v>
      </c>
      <c r="N12" s="12">
        <v>46.6</v>
      </c>
      <c r="O12" s="12">
        <v>6</v>
      </c>
      <c r="P12" s="12">
        <v>33.799999999999997</v>
      </c>
      <c r="Q12" s="12">
        <v>9</v>
      </c>
      <c r="R12" s="17">
        <v>63</v>
      </c>
      <c r="S12" s="12">
        <v>9</v>
      </c>
      <c r="T12" s="12">
        <v>321</v>
      </c>
      <c r="U12" s="12">
        <v>7</v>
      </c>
      <c r="V12" s="12">
        <v>64.599999999999994</v>
      </c>
      <c r="W12" s="12">
        <v>1</v>
      </c>
      <c r="X12" s="131">
        <f t="shared" si="0"/>
        <v>60</v>
      </c>
    </row>
    <row r="13" spans="1:24" s="4" customFormat="1" ht="12.75" x14ac:dyDescent="0.2">
      <c r="A13" s="12">
        <v>5</v>
      </c>
      <c r="B13" s="11" t="s">
        <v>100</v>
      </c>
      <c r="C13" s="12">
        <v>7.72</v>
      </c>
      <c r="D13" s="16">
        <f>(C13*100)/C9</f>
        <v>88.888888888888886</v>
      </c>
      <c r="E13" s="12">
        <f>4*2</f>
        <v>8</v>
      </c>
      <c r="F13" s="12">
        <v>6</v>
      </c>
      <c r="G13" s="12">
        <v>9</v>
      </c>
      <c r="H13" s="12">
        <v>70</v>
      </c>
      <c r="I13" s="12">
        <v>209</v>
      </c>
      <c r="J13" s="12">
        <v>778</v>
      </c>
      <c r="K13" s="12">
        <v>7</v>
      </c>
      <c r="L13" s="17">
        <v>14</v>
      </c>
      <c r="M13" s="12">
        <v>7</v>
      </c>
      <c r="N13" s="12">
        <v>42.4</v>
      </c>
      <c r="O13" s="12">
        <v>5</v>
      </c>
      <c r="P13" s="12">
        <v>39.200000000000003</v>
      </c>
      <c r="Q13" s="12">
        <v>9</v>
      </c>
      <c r="R13" s="12">
        <v>63.5</v>
      </c>
      <c r="S13" s="12">
        <v>9</v>
      </c>
      <c r="T13" s="12">
        <v>339</v>
      </c>
      <c r="U13" s="12">
        <v>5</v>
      </c>
      <c r="V13" s="12">
        <v>66.400000000000006</v>
      </c>
      <c r="W13" s="12">
        <v>4</v>
      </c>
      <c r="X13" s="131">
        <f t="shared" si="0"/>
        <v>60</v>
      </c>
    </row>
    <row r="14" spans="1:24" s="4" customFormat="1" ht="12.75" x14ac:dyDescent="0.2">
      <c r="A14" s="12">
        <v>6</v>
      </c>
      <c r="B14" s="11" t="s">
        <v>101</v>
      </c>
      <c r="C14" s="12">
        <v>8.56</v>
      </c>
      <c r="D14" s="16">
        <f>(C14*100)/C9</f>
        <v>98.560736902705813</v>
      </c>
      <c r="E14" s="12">
        <f>5*2</f>
        <v>10</v>
      </c>
      <c r="F14" s="12">
        <v>9</v>
      </c>
      <c r="G14" s="12">
        <v>9</v>
      </c>
      <c r="H14" s="12">
        <v>65</v>
      </c>
      <c r="I14" s="12">
        <v>209</v>
      </c>
      <c r="J14" s="12">
        <v>786</v>
      </c>
      <c r="K14" s="12">
        <v>8</v>
      </c>
      <c r="L14" s="17">
        <v>13</v>
      </c>
      <c r="M14" s="12">
        <v>6</v>
      </c>
      <c r="N14" s="12">
        <v>43.2</v>
      </c>
      <c r="O14" s="12">
        <v>6</v>
      </c>
      <c r="P14" s="12">
        <v>26.6</v>
      </c>
      <c r="Q14" s="12">
        <v>8</v>
      </c>
      <c r="R14" s="12">
        <v>44.2</v>
      </c>
      <c r="S14" s="12">
        <v>7</v>
      </c>
      <c r="T14" s="12">
        <v>347</v>
      </c>
      <c r="U14" s="12">
        <v>5</v>
      </c>
      <c r="V14" s="12">
        <v>67.3</v>
      </c>
      <c r="W14" s="12">
        <v>5</v>
      </c>
      <c r="X14" s="131">
        <f t="shared" si="0"/>
        <v>64</v>
      </c>
    </row>
    <row r="15" spans="1:24" s="4" customFormat="1" ht="12.75" x14ac:dyDescent="0.2">
      <c r="A15" s="12">
        <v>7</v>
      </c>
      <c r="B15" s="11" t="s">
        <v>102</v>
      </c>
      <c r="C15" s="12">
        <v>8.73</v>
      </c>
      <c r="D15" s="16">
        <f>(C15*100)/C9</f>
        <v>100.51813471502589</v>
      </c>
      <c r="E15" s="12">
        <f>5*2</f>
        <v>10</v>
      </c>
      <c r="F15" s="12">
        <v>8</v>
      </c>
      <c r="G15" s="12">
        <v>9</v>
      </c>
      <c r="H15" s="12">
        <v>79</v>
      </c>
      <c r="I15" s="12">
        <v>211</v>
      </c>
      <c r="J15" s="12">
        <v>802</v>
      </c>
      <c r="K15" s="12">
        <v>9</v>
      </c>
      <c r="L15" s="17">
        <v>13.8</v>
      </c>
      <c r="M15" s="12">
        <v>7</v>
      </c>
      <c r="N15" s="12">
        <v>48.7</v>
      </c>
      <c r="O15" s="12">
        <v>7</v>
      </c>
      <c r="P15" s="12">
        <v>29.8</v>
      </c>
      <c r="Q15" s="12">
        <v>9</v>
      </c>
      <c r="R15" s="12">
        <v>57.8</v>
      </c>
      <c r="S15" s="12">
        <v>9</v>
      </c>
      <c r="T15" s="12">
        <v>251</v>
      </c>
      <c r="U15" s="12">
        <v>9</v>
      </c>
      <c r="V15" s="12">
        <v>67.5</v>
      </c>
      <c r="W15" s="12">
        <v>5</v>
      </c>
      <c r="X15" s="131">
        <f t="shared" si="0"/>
        <v>73</v>
      </c>
    </row>
    <row r="16" spans="1:24" s="4" customFormat="1" ht="13.5" customHeight="1" x14ac:dyDescent="0.2">
      <c r="A16" s="12">
        <v>8</v>
      </c>
      <c r="B16" s="11" t="s">
        <v>103</v>
      </c>
      <c r="C16" s="12">
        <v>10.050000000000001</v>
      </c>
      <c r="D16" s="16">
        <f>(C16*100)/C9</f>
        <v>115.71675302245251</v>
      </c>
      <c r="E16" s="12">
        <f>7*2</f>
        <v>14</v>
      </c>
      <c r="F16" s="12">
        <v>8</v>
      </c>
      <c r="G16" s="12">
        <v>7</v>
      </c>
      <c r="H16" s="12">
        <v>70</v>
      </c>
      <c r="I16" s="12">
        <v>213</v>
      </c>
      <c r="J16" s="12">
        <v>744</v>
      </c>
      <c r="K16" s="12">
        <v>5</v>
      </c>
      <c r="L16" s="17">
        <v>13.3</v>
      </c>
      <c r="M16" s="12">
        <v>7</v>
      </c>
      <c r="N16" s="12">
        <v>36.5</v>
      </c>
      <c r="O16" s="12">
        <v>4</v>
      </c>
      <c r="P16" s="12">
        <v>27.2</v>
      </c>
      <c r="Q16" s="12">
        <v>8</v>
      </c>
      <c r="R16" s="12">
        <v>47.8</v>
      </c>
      <c r="S16" s="12">
        <v>8</v>
      </c>
      <c r="T16" s="12">
        <v>353</v>
      </c>
      <c r="U16" s="12">
        <v>5</v>
      </c>
      <c r="V16" s="12">
        <v>65.900000000000006</v>
      </c>
      <c r="W16" s="12">
        <v>3</v>
      </c>
      <c r="X16" s="131">
        <f t="shared" si="0"/>
        <v>62</v>
      </c>
    </row>
    <row r="17" spans="1:24" s="4" customFormat="1" ht="12.75" x14ac:dyDescent="0.2">
      <c r="A17" s="12">
        <v>9</v>
      </c>
      <c r="B17" s="11" t="s">
        <v>104</v>
      </c>
      <c r="C17" s="12">
        <v>9.0399999999999991</v>
      </c>
      <c r="D17" s="16">
        <f>(C17*100)/C9</f>
        <v>104.08750719631547</v>
      </c>
      <c r="E17" s="12">
        <f>5*2</f>
        <v>10</v>
      </c>
      <c r="F17" s="12">
        <v>7</v>
      </c>
      <c r="G17" s="12">
        <v>9</v>
      </c>
      <c r="H17" s="12">
        <v>74</v>
      </c>
      <c r="I17" s="12">
        <v>210</v>
      </c>
      <c r="J17" s="12">
        <v>789</v>
      </c>
      <c r="K17" s="12">
        <v>8</v>
      </c>
      <c r="L17" s="17">
        <v>12.1</v>
      </c>
      <c r="M17" s="12">
        <v>6</v>
      </c>
      <c r="N17" s="12">
        <v>46.1</v>
      </c>
      <c r="O17" s="12">
        <v>6</v>
      </c>
      <c r="P17" s="12">
        <v>23.5</v>
      </c>
      <c r="Q17" s="12">
        <v>7</v>
      </c>
      <c r="R17" s="12">
        <v>37.4</v>
      </c>
      <c r="S17" s="12">
        <v>7</v>
      </c>
      <c r="T17" s="12">
        <v>366</v>
      </c>
      <c r="U17" s="12">
        <v>5</v>
      </c>
      <c r="V17" s="12">
        <v>68.7</v>
      </c>
      <c r="W17" s="12">
        <v>7</v>
      </c>
      <c r="X17" s="131">
        <f t="shared" si="0"/>
        <v>63</v>
      </c>
    </row>
    <row r="18" spans="1:24" s="4" customFormat="1" ht="12.75" x14ac:dyDescent="0.2">
      <c r="A18" s="12">
        <v>10</v>
      </c>
      <c r="B18" s="11" t="s">
        <v>105</v>
      </c>
      <c r="C18" s="12">
        <v>9.7200000000000006</v>
      </c>
      <c r="D18" s="16">
        <f>(C18*100)/C9</f>
        <v>111.91709844559585</v>
      </c>
      <c r="E18" s="12">
        <f>6*2</f>
        <v>12</v>
      </c>
      <c r="F18" s="12">
        <v>9</v>
      </c>
      <c r="G18" s="12">
        <v>9</v>
      </c>
      <c r="H18" s="12">
        <v>74</v>
      </c>
      <c r="I18" s="12">
        <v>209</v>
      </c>
      <c r="J18" s="12">
        <v>766</v>
      </c>
      <c r="K18" s="12">
        <v>6</v>
      </c>
      <c r="L18" s="17">
        <v>13.4</v>
      </c>
      <c r="M18" s="12">
        <v>7</v>
      </c>
      <c r="N18" s="12">
        <v>49.4</v>
      </c>
      <c r="O18" s="12">
        <v>7</v>
      </c>
      <c r="P18" s="17">
        <v>27</v>
      </c>
      <c r="Q18" s="12">
        <v>8</v>
      </c>
      <c r="R18" s="17">
        <v>49</v>
      </c>
      <c r="S18" s="12">
        <v>8</v>
      </c>
      <c r="T18" s="12">
        <v>327</v>
      </c>
      <c r="U18" s="12">
        <v>7</v>
      </c>
      <c r="V18" s="12">
        <v>67.099999999999994</v>
      </c>
      <c r="W18" s="12">
        <v>5</v>
      </c>
      <c r="X18" s="131">
        <f t="shared" si="0"/>
        <v>69</v>
      </c>
    </row>
    <row r="19" spans="1:24" s="4" customFormat="1" ht="12.75" x14ac:dyDescent="0.2">
      <c r="A19" s="12">
        <v>11</v>
      </c>
      <c r="B19" s="11" t="s">
        <v>106</v>
      </c>
      <c r="C19" s="12">
        <v>9.89</v>
      </c>
      <c r="D19" s="16">
        <f>(C19*100)/C9</f>
        <v>113.87449625791594</v>
      </c>
      <c r="E19" s="12">
        <f>6*2</f>
        <v>12</v>
      </c>
      <c r="F19" s="12">
        <v>8</v>
      </c>
      <c r="G19" s="12">
        <v>9</v>
      </c>
      <c r="H19" s="12">
        <v>74</v>
      </c>
      <c r="I19" s="12">
        <v>208</v>
      </c>
      <c r="J19" s="12">
        <v>802</v>
      </c>
      <c r="K19" s="12">
        <v>9</v>
      </c>
      <c r="L19" s="17">
        <v>13.4</v>
      </c>
      <c r="M19" s="12">
        <v>7</v>
      </c>
      <c r="N19" s="12">
        <v>51.5</v>
      </c>
      <c r="O19" s="12">
        <v>8</v>
      </c>
      <c r="P19" s="17">
        <v>28</v>
      </c>
      <c r="Q19" s="12">
        <v>8</v>
      </c>
      <c r="R19" s="12">
        <v>48.6</v>
      </c>
      <c r="S19" s="12">
        <v>8</v>
      </c>
      <c r="T19" s="12">
        <v>354</v>
      </c>
      <c r="U19" s="12">
        <v>5</v>
      </c>
      <c r="V19" s="12">
        <v>67.3</v>
      </c>
      <c r="W19" s="12">
        <v>5</v>
      </c>
      <c r="X19" s="131">
        <f t="shared" si="0"/>
        <v>70</v>
      </c>
    </row>
    <row r="20" spans="1:24" s="4" customFormat="1" ht="12.75" x14ac:dyDescent="0.2">
      <c r="A20" s="12">
        <v>12</v>
      </c>
      <c r="B20" s="11" t="s">
        <v>107</v>
      </c>
      <c r="C20" s="12">
        <v>6.58</v>
      </c>
      <c r="D20" s="16">
        <f>(C20*100)/C9</f>
        <v>75.762809441565921</v>
      </c>
      <c r="E20" s="12">
        <f>3*2</f>
        <v>6</v>
      </c>
      <c r="F20" s="12">
        <v>4</v>
      </c>
      <c r="G20" s="12">
        <v>9</v>
      </c>
      <c r="H20" s="12">
        <v>78</v>
      </c>
      <c r="I20" s="12">
        <v>210</v>
      </c>
      <c r="J20" s="16">
        <v>794</v>
      </c>
      <c r="K20" s="16">
        <v>8</v>
      </c>
      <c r="L20" s="17">
        <v>15.7</v>
      </c>
      <c r="M20" s="12">
        <v>8</v>
      </c>
      <c r="N20" s="17">
        <v>49</v>
      </c>
      <c r="O20" s="12">
        <v>7</v>
      </c>
      <c r="P20" s="12">
        <v>35.6</v>
      </c>
      <c r="Q20" s="12">
        <v>9</v>
      </c>
      <c r="R20" s="17">
        <v>61.1</v>
      </c>
      <c r="S20" s="17">
        <v>9</v>
      </c>
      <c r="T20" s="16">
        <v>361</v>
      </c>
      <c r="U20" s="16">
        <v>5</v>
      </c>
      <c r="V20" s="17">
        <v>66</v>
      </c>
      <c r="W20" s="16">
        <v>3</v>
      </c>
      <c r="X20" s="131">
        <f t="shared" si="0"/>
        <v>59</v>
      </c>
    </row>
    <row r="21" spans="1:24" s="4" customFormat="1" ht="12.75" x14ac:dyDescent="0.2">
      <c r="A21" s="12">
        <v>13</v>
      </c>
      <c r="B21" s="11" t="s">
        <v>108</v>
      </c>
      <c r="C21" s="12">
        <v>9.0399999999999991</v>
      </c>
      <c r="D21" s="16">
        <f>(C21*100)/C9</f>
        <v>104.08750719631547</v>
      </c>
      <c r="E21" s="12">
        <f>5*2</f>
        <v>10</v>
      </c>
      <c r="F21" s="12">
        <v>8</v>
      </c>
      <c r="G21" s="12">
        <v>8</v>
      </c>
      <c r="H21" s="12">
        <v>71</v>
      </c>
      <c r="I21" s="12">
        <v>207</v>
      </c>
      <c r="J21" s="12">
        <v>750</v>
      </c>
      <c r="K21" s="12">
        <v>5</v>
      </c>
      <c r="L21" s="17">
        <v>13.1</v>
      </c>
      <c r="M21" s="12">
        <v>7</v>
      </c>
      <c r="N21" s="17">
        <v>49.4</v>
      </c>
      <c r="O21" s="16">
        <v>7</v>
      </c>
      <c r="P21" s="12">
        <v>26.4</v>
      </c>
      <c r="Q21" s="12">
        <v>8</v>
      </c>
      <c r="R21" s="12">
        <v>49.1</v>
      </c>
      <c r="S21" s="12">
        <v>8</v>
      </c>
      <c r="T21" s="12">
        <v>360</v>
      </c>
      <c r="U21" s="12">
        <v>5</v>
      </c>
      <c r="V21" s="12">
        <v>66.599999999999994</v>
      </c>
      <c r="W21" s="12">
        <v>4</v>
      </c>
      <c r="X21" s="131">
        <f t="shared" si="0"/>
        <v>62</v>
      </c>
    </row>
    <row r="22" spans="1:24" s="4" customFormat="1" ht="12.75" x14ac:dyDescent="0.2">
      <c r="A22" s="12">
        <v>14</v>
      </c>
      <c r="B22" s="11" t="s">
        <v>109</v>
      </c>
      <c r="C22" s="12">
        <v>9.91</v>
      </c>
      <c r="D22" s="16">
        <f>(C22*100)/C9</f>
        <v>114.10477835348301</v>
      </c>
      <c r="E22" s="12">
        <f>6*2</f>
        <v>12</v>
      </c>
      <c r="F22" s="12">
        <v>8</v>
      </c>
      <c r="G22" s="12">
        <v>9</v>
      </c>
      <c r="H22" s="12">
        <v>69</v>
      </c>
      <c r="I22" s="12">
        <v>210</v>
      </c>
      <c r="J22" s="12">
        <v>803</v>
      </c>
      <c r="K22" s="12">
        <v>9</v>
      </c>
      <c r="L22" s="17">
        <v>13.9</v>
      </c>
      <c r="M22" s="12">
        <v>7</v>
      </c>
      <c r="N22" s="12">
        <v>44.4</v>
      </c>
      <c r="O22" s="12">
        <v>6</v>
      </c>
      <c r="P22" s="12">
        <v>39.1</v>
      </c>
      <c r="Q22" s="12">
        <v>9</v>
      </c>
      <c r="R22" s="17">
        <v>57</v>
      </c>
      <c r="S22" s="12">
        <v>9</v>
      </c>
      <c r="T22" s="12">
        <v>257</v>
      </c>
      <c r="U22" s="12">
        <v>9</v>
      </c>
      <c r="V22" s="12">
        <v>66.5</v>
      </c>
      <c r="W22" s="12">
        <v>4</v>
      </c>
      <c r="X22" s="131">
        <f t="shared" si="0"/>
        <v>73</v>
      </c>
    </row>
    <row r="23" spans="1:24" s="4" customFormat="1" ht="12.75" x14ac:dyDescent="0.2">
      <c r="A23" s="12">
        <v>15</v>
      </c>
      <c r="B23" s="11" t="s">
        <v>110</v>
      </c>
      <c r="C23" s="12">
        <v>7.95</v>
      </c>
      <c r="D23" s="16">
        <f>(C23*100)/C9</f>
        <v>91.537132987910184</v>
      </c>
      <c r="E23" s="12">
        <f>4*2</f>
        <v>8</v>
      </c>
      <c r="F23" s="12">
        <v>7</v>
      </c>
      <c r="G23" s="12">
        <v>7</v>
      </c>
      <c r="H23" s="12">
        <v>75</v>
      </c>
      <c r="I23" s="12">
        <v>210</v>
      </c>
      <c r="J23" s="12">
        <v>772</v>
      </c>
      <c r="K23" s="12">
        <v>7</v>
      </c>
      <c r="L23" s="17">
        <v>14.3</v>
      </c>
      <c r="M23" s="12">
        <v>8</v>
      </c>
      <c r="N23" s="12">
        <v>42.9</v>
      </c>
      <c r="O23" s="12">
        <v>5</v>
      </c>
      <c r="P23" s="12">
        <v>30.2</v>
      </c>
      <c r="Q23" s="12">
        <v>9</v>
      </c>
      <c r="R23" s="12">
        <v>59.6</v>
      </c>
      <c r="S23" s="12">
        <v>9</v>
      </c>
      <c r="T23" s="12">
        <v>363</v>
      </c>
      <c r="U23" s="12">
        <v>5</v>
      </c>
      <c r="V23" s="12">
        <v>65.599999999999994</v>
      </c>
      <c r="W23" s="12">
        <v>2</v>
      </c>
      <c r="X23" s="131">
        <f t="shared" si="0"/>
        <v>60</v>
      </c>
    </row>
    <row r="24" spans="1:24" s="4" customFormat="1" ht="12.75" x14ac:dyDescent="0.2">
      <c r="A24" s="12">
        <v>16</v>
      </c>
      <c r="B24" s="11" t="s">
        <v>111</v>
      </c>
      <c r="C24" s="12">
        <v>8.99</v>
      </c>
      <c r="D24" s="16">
        <f>(C24*100)/C9</f>
        <v>103.51180195739781</v>
      </c>
      <c r="E24" s="12">
        <f>5*2</f>
        <v>10</v>
      </c>
      <c r="F24" s="12">
        <v>8</v>
      </c>
      <c r="G24" s="12">
        <v>9</v>
      </c>
      <c r="H24" s="12">
        <v>71</v>
      </c>
      <c r="I24" s="12">
        <v>207</v>
      </c>
      <c r="J24" s="12">
        <v>753</v>
      </c>
      <c r="K24" s="12">
        <v>6</v>
      </c>
      <c r="L24" s="17">
        <v>13.6</v>
      </c>
      <c r="M24" s="12">
        <v>7</v>
      </c>
      <c r="N24" s="12">
        <v>41.8</v>
      </c>
      <c r="O24" s="12">
        <v>5</v>
      </c>
      <c r="P24" s="12">
        <v>28.2</v>
      </c>
      <c r="Q24" s="12">
        <v>8</v>
      </c>
      <c r="R24" s="17">
        <v>52</v>
      </c>
      <c r="S24" s="12">
        <v>8</v>
      </c>
      <c r="T24" s="12">
        <v>291</v>
      </c>
      <c r="U24" s="12">
        <v>9</v>
      </c>
      <c r="V24" s="12">
        <v>66.599999999999994</v>
      </c>
      <c r="W24" s="12">
        <v>4</v>
      </c>
      <c r="X24" s="131">
        <f t="shared" si="0"/>
        <v>65</v>
      </c>
    </row>
    <row r="25" spans="1:24" s="4" customFormat="1" ht="12.75" x14ac:dyDescent="0.2">
      <c r="A25" s="12">
        <v>17</v>
      </c>
      <c r="B25" s="11" t="s">
        <v>112</v>
      </c>
      <c r="C25" s="12">
        <v>9.93</v>
      </c>
      <c r="D25" s="16">
        <f>(C25*100)/C9</f>
        <v>114.33506044905008</v>
      </c>
      <c r="E25" s="12">
        <f>6*2</f>
        <v>12</v>
      </c>
      <c r="F25" s="12">
        <v>9</v>
      </c>
      <c r="G25" s="12">
        <v>6</v>
      </c>
      <c r="H25" s="12">
        <v>80</v>
      </c>
      <c r="I25" s="12">
        <v>213</v>
      </c>
      <c r="J25" s="12">
        <v>782</v>
      </c>
      <c r="K25" s="12">
        <v>7</v>
      </c>
      <c r="L25" s="17">
        <v>14.2</v>
      </c>
      <c r="M25" s="12">
        <v>8</v>
      </c>
      <c r="N25" s="12">
        <v>45.3</v>
      </c>
      <c r="O25" s="12">
        <v>6</v>
      </c>
      <c r="P25" s="12">
        <v>29.7</v>
      </c>
      <c r="Q25" s="12">
        <v>9</v>
      </c>
      <c r="R25" s="12">
        <v>59.7</v>
      </c>
      <c r="S25" s="12">
        <v>9</v>
      </c>
      <c r="T25" s="12">
        <v>349</v>
      </c>
      <c r="U25" s="12">
        <v>5</v>
      </c>
      <c r="V25" s="12">
        <v>65.5</v>
      </c>
      <c r="W25" s="12">
        <v>2</v>
      </c>
      <c r="X25" s="131">
        <f t="shared" si="0"/>
        <v>67</v>
      </c>
    </row>
    <row r="26" spans="1:24" s="4" customFormat="1" ht="12.75" x14ac:dyDescent="0.2">
      <c r="A26" s="12">
        <v>18</v>
      </c>
      <c r="B26" s="11" t="s">
        <v>113</v>
      </c>
      <c r="C26" s="12">
        <v>8.85</v>
      </c>
      <c r="D26" s="16">
        <f>(C26*100)/C9</f>
        <v>101.89982728842831</v>
      </c>
      <c r="E26" s="12">
        <f>5*2</f>
        <v>10</v>
      </c>
      <c r="F26" s="12">
        <v>8</v>
      </c>
      <c r="G26" s="12">
        <v>9</v>
      </c>
      <c r="H26" s="12">
        <v>75</v>
      </c>
      <c r="I26" s="12">
        <v>210</v>
      </c>
      <c r="J26" s="12">
        <v>792</v>
      </c>
      <c r="K26" s="12">
        <v>8</v>
      </c>
      <c r="L26" s="17">
        <v>14.6</v>
      </c>
      <c r="M26" s="12">
        <v>8</v>
      </c>
      <c r="N26" s="12">
        <v>41.2</v>
      </c>
      <c r="O26" s="12">
        <v>5</v>
      </c>
      <c r="P26" s="12">
        <v>31.6</v>
      </c>
      <c r="Q26" s="12">
        <v>9</v>
      </c>
      <c r="R26" s="12">
        <v>56.9</v>
      </c>
      <c r="S26" s="12">
        <v>9</v>
      </c>
      <c r="T26" s="12">
        <v>381</v>
      </c>
      <c r="U26" s="12">
        <v>5</v>
      </c>
      <c r="V26" s="12">
        <v>64.7</v>
      </c>
      <c r="W26" s="12">
        <v>1</v>
      </c>
      <c r="X26" s="131">
        <f t="shared" si="0"/>
        <v>63</v>
      </c>
    </row>
    <row r="27" spans="1:24" s="4" customFormat="1" ht="12.75" x14ac:dyDescent="0.2">
      <c r="A27" s="12">
        <v>19</v>
      </c>
      <c r="B27" s="11" t="s">
        <v>114</v>
      </c>
      <c r="C27" s="12">
        <v>9.07</v>
      </c>
      <c r="D27" s="16">
        <f>(C27*100)/C9</f>
        <v>104.43293033966609</v>
      </c>
      <c r="E27" s="12">
        <f>5*2</f>
        <v>10</v>
      </c>
      <c r="F27" s="12">
        <v>9</v>
      </c>
      <c r="G27" s="12">
        <v>7</v>
      </c>
      <c r="H27" s="12">
        <v>74</v>
      </c>
      <c r="I27" s="12">
        <v>210</v>
      </c>
      <c r="J27" s="12">
        <v>738</v>
      </c>
      <c r="K27" s="12">
        <v>5</v>
      </c>
      <c r="L27" s="17">
        <v>12.6</v>
      </c>
      <c r="M27" s="12">
        <v>6</v>
      </c>
      <c r="N27" s="12">
        <v>40.700000000000003</v>
      </c>
      <c r="O27" s="12">
        <v>5</v>
      </c>
      <c r="P27" s="12">
        <v>24.4</v>
      </c>
      <c r="Q27" s="12">
        <v>7</v>
      </c>
      <c r="R27" s="12">
        <v>41.8</v>
      </c>
      <c r="S27" s="12">
        <v>7</v>
      </c>
      <c r="T27" s="12">
        <v>304</v>
      </c>
      <c r="U27" s="12">
        <v>7</v>
      </c>
      <c r="V27" s="12">
        <v>65.7</v>
      </c>
      <c r="W27" s="12">
        <v>3</v>
      </c>
      <c r="X27" s="131">
        <f t="shared" si="0"/>
        <v>59</v>
      </c>
    </row>
    <row r="28" spans="1:24" s="4" customFormat="1" ht="12.75" x14ac:dyDescent="0.2">
      <c r="A28" s="5" t="s">
        <v>216</v>
      </c>
      <c r="X28" s="145"/>
    </row>
    <row r="29" spans="1:24" s="4" customFormat="1" ht="12.75" x14ac:dyDescent="0.2">
      <c r="A29" s="12">
        <v>1</v>
      </c>
      <c r="B29" s="11" t="s">
        <v>96</v>
      </c>
      <c r="C29" s="14">
        <f>(6.22+5.56)/2</f>
        <v>5.89</v>
      </c>
      <c r="D29" s="12">
        <v>100</v>
      </c>
      <c r="E29" s="12">
        <f>5*2</f>
        <v>10</v>
      </c>
      <c r="F29" s="12">
        <v>8</v>
      </c>
      <c r="G29" s="12">
        <v>9</v>
      </c>
      <c r="H29" s="12">
        <f>(84+74)/2</f>
        <v>79</v>
      </c>
      <c r="I29" s="12">
        <v>208</v>
      </c>
      <c r="J29" s="16">
        <f>(802+808)/2</f>
        <v>805</v>
      </c>
      <c r="K29" s="16">
        <v>9</v>
      </c>
      <c r="L29" s="14">
        <f>(12.9+12.8)/2</f>
        <v>12.850000000000001</v>
      </c>
      <c r="M29" s="12">
        <v>6</v>
      </c>
      <c r="N29" s="17">
        <f>(42.8+44.2)/2</f>
        <v>43.5</v>
      </c>
      <c r="O29" s="16">
        <v>6</v>
      </c>
      <c r="P29" s="12">
        <f>(27.5+27)/2</f>
        <v>27.25</v>
      </c>
      <c r="Q29" s="12">
        <v>8</v>
      </c>
      <c r="R29" s="17">
        <f>(48.8+47.1)/2</f>
        <v>47.95</v>
      </c>
      <c r="S29" s="16">
        <v>8</v>
      </c>
      <c r="T29" s="16">
        <f>(255+311)/2</f>
        <v>283</v>
      </c>
      <c r="U29" s="16">
        <v>9</v>
      </c>
      <c r="V29" s="17">
        <f>(67.5+67.5)/2</f>
        <v>67.5</v>
      </c>
      <c r="W29" s="16">
        <v>5</v>
      </c>
      <c r="X29" s="131">
        <f>E29+F29+K29+M29+O29+Q29+S29+U29+W29</f>
        <v>69</v>
      </c>
    </row>
    <row r="30" spans="1:24" s="4" customFormat="1" ht="12.75" x14ac:dyDescent="0.2">
      <c r="A30" s="12">
        <v>2</v>
      </c>
      <c r="B30" s="11" t="s">
        <v>97</v>
      </c>
      <c r="C30" s="12">
        <v>5.46</v>
      </c>
      <c r="D30" s="16">
        <f>(C30*100)/C29</f>
        <v>92.699490662139226</v>
      </c>
      <c r="E30" s="12">
        <f>4*2</f>
        <v>8</v>
      </c>
      <c r="F30" s="12">
        <v>9</v>
      </c>
      <c r="G30" s="12">
        <v>9</v>
      </c>
      <c r="H30" s="12">
        <v>89</v>
      </c>
      <c r="I30" s="12">
        <v>205</v>
      </c>
      <c r="J30" s="12">
        <v>766</v>
      </c>
      <c r="K30" s="12">
        <v>6</v>
      </c>
      <c r="L30" s="17">
        <v>13.8</v>
      </c>
      <c r="M30" s="12">
        <v>7</v>
      </c>
      <c r="N30" s="12">
        <v>44.3</v>
      </c>
      <c r="O30" s="12">
        <v>6</v>
      </c>
      <c r="P30" s="12">
        <v>29.1</v>
      </c>
      <c r="Q30" s="12">
        <v>9</v>
      </c>
      <c r="R30" s="12">
        <v>55.8</v>
      </c>
      <c r="S30" s="12">
        <v>8</v>
      </c>
      <c r="T30" s="12">
        <v>287</v>
      </c>
      <c r="U30" s="12">
        <v>9</v>
      </c>
      <c r="V30" s="12">
        <v>67.8</v>
      </c>
      <c r="W30" s="12">
        <v>6</v>
      </c>
      <c r="X30" s="131">
        <f t="shared" ref="X30:X47" si="1">E30+F30+K30+M30+O30+Q30+S30+U30+W30</f>
        <v>68</v>
      </c>
    </row>
    <row r="31" spans="1:24" s="4" customFormat="1" ht="12.75" x14ac:dyDescent="0.2">
      <c r="A31" s="12">
        <v>3</v>
      </c>
      <c r="B31" s="11" t="s">
        <v>98</v>
      </c>
      <c r="C31" s="12">
        <v>5.65</v>
      </c>
      <c r="D31" s="16">
        <f>(C31*100)/C29</f>
        <v>95.925297113752123</v>
      </c>
      <c r="E31" s="12">
        <f>5*2</f>
        <v>10</v>
      </c>
      <c r="F31" s="12">
        <v>8</v>
      </c>
      <c r="G31" s="12">
        <v>9</v>
      </c>
      <c r="H31" s="12">
        <v>66</v>
      </c>
      <c r="I31" s="12">
        <v>205</v>
      </c>
      <c r="J31" s="12">
        <v>783</v>
      </c>
      <c r="K31" s="12">
        <v>7</v>
      </c>
      <c r="L31" s="17">
        <v>13.2</v>
      </c>
      <c r="M31" s="12">
        <v>7</v>
      </c>
      <c r="N31" s="12">
        <v>45.1</v>
      </c>
      <c r="O31" s="12">
        <v>6</v>
      </c>
      <c r="P31" s="12">
        <v>27.8</v>
      </c>
      <c r="Q31" s="12">
        <v>8</v>
      </c>
      <c r="R31" s="12">
        <v>49.2</v>
      </c>
      <c r="S31" s="12">
        <v>8</v>
      </c>
      <c r="T31" s="12">
        <v>323</v>
      </c>
      <c r="U31" s="12">
        <v>7</v>
      </c>
      <c r="V31" s="17">
        <v>68</v>
      </c>
      <c r="W31" s="12">
        <v>6</v>
      </c>
      <c r="X31" s="131">
        <f t="shared" si="1"/>
        <v>67</v>
      </c>
    </row>
    <row r="32" spans="1:24" s="4" customFormat="1" ht="12.75" x14ac:dyDescent="0.2">
      <c r="A32" s="12">
        <v>4</v>
      </c>
      <c r="B32" s="11" t="s">
        <v>99</v>
      </c>
      <c r="C32" s="12">
        <v>4.63</v>
      </c>
      <c r="D32" s="16">
        <f>(C32*100)/C29</f>
        <v>78.607809847198652</v>
      </c>
      <c r="E32" s="12">
        <f>3*2</f>
        <v>6</v>
      </c>
      <c r="F32" s="12">
        <v>9</v>
      </c>
      <c r="G32" s="12">
        <v>9</v>
      </c>
      <c r="H32" s="12">
        <v>72</v>
      </c>
      <c r="I32" s="12">
        <v>205</v>
      </c>
      <c r="J32" s="12">
        <v>769</v>
      </c>
      <c r="K32" s="12">
        <v>6</v>
      </c>
      <c r="L32" s="17">
        <v>14.3</v>
      </c>
      <c r="M32" s="12">
        <v>8</v>
      </c>
      <c r="N32" s="12">
        <v>49.9</v>
      </c>
      <c r="O32" s="12">
        <v>7</v>
      </c>
      <c r="P32" s="12">
        <v>29.7</v>
      </c>
      <c r="Q32" s="12">
        <v>9</v>
      </c>
      <c r="R32" s="12">
        <v>56.3</v>
      </c>
      <c r="S32" s="12">
        <v>9</v>
      </c>
      <c r="T32" s="12">
        <v>327</v>
      </c>
      <c r="U32" s="12">
        <v>7</v>
      </c>
      <c r="V32" s="12">
        <v>66.3</v>
      </c>
      <c r="W32" s="12">
        <v>3</v>
      </c>
      <c r="X32" s="131">
        <f t="shared" si="1"/>
        <v>64</v>
      </c>
    </row>
    <row r="33" spans="1:24" s="4" customFormat="1" ht="12.75" x14ac:dyDescent="0.2">
      <c r="A33" s="12">
        <v>5</v>
      </c>
      <c r="B33" s="11" t="s">
        <v>100</v>
      </c>
      <c r="C33" s="12">
        <v>6.09</v>
      </c>
      <c r="D33" s="16">
        <f>(C33*100)/C29</f>
        <v>103.39558573853991</v>
      </c>
      <c r="E33" s="12">
        <f>5*2</f>
        <v>10</v>
      </c>
      <c r="F33" s="12">
        <v>8</v>
      </c>
      <c r="G33" s="12">
        <v>9</v>
      </c>
      <c r="H33" s="12">
        <v>77</v>
      </c>
      <c r="I33" s="12">
        <v>205</v>
      </c>
      <c r="J33" s="16">
        <v>788</v>
      </c>
      <c r="K33" s="16">
        <v>8</v>
      </c>
      <c r="L33" s="17">
        <v>12.3</v>
      </c>
      <c r="M33" s="12">
        <v>6</v>
      </c>
      <c r="N33" s="12">
        <v>43.9</v>
      </c>
      <c r="O33" s="12">
        <v>6</v>
      </c>
      <c r="P33" s="12">
        <v>25.2</v>
      </c>
      <c r="Q33" s="12">
        <v>8</v>
      </c>
      <c r="R33" s="17">
        <v>39.1</v>
      </c>
      <c r="S33" s="16">
        <v>7</v>
      </c>
      <c r="T33" s="16">
        <v>321</v>
      </c>
      <c r="U33" s="16">
        <v>7</v>
      </c>
      <c r="V33" s="17">
        <v>68.7</v>
      </c>
      <c r="W33" s="16">
        <v>7</v>
      </c>
      <c r="X33" s="131">
        <f t="shared" si="1"/>
        <v>67</v>
      </c>
    </row>
    <row r="34" spans="1:24" s="4" customFormat="1" ht="12.75" x14ac:dyDescent="0.2">
      <c r="A34" s="12">
        <v>6</v>
      </c>
      <c r="B34" s="11" t="s">
        <v>101</v>
      </c>
      <c r="C34" s="12">
        <v>6.28</v>
      </c>
      <c r="D34" s="16">
        <f>(C34*100)/C29</f>
        <v>106.6213921901528</v>
      </c>
      <c r="E34" s="12">
        <f>6*2</f>
        <v>12</v>
      </c>
      <c r="F34" s="12">
        <v>8</v>
      </c>
      <c r="G34" s="12">
        <v>9</v>
      </c>
      <c r="H34" s="12">
        <v>69</v>
      </c>
      <c r="I34" s="12">
        <v>205</v>
      </c>
      <c r="J34" s="12">
        <v>784</v>
      </c>
      <c r="K34" s="12">
        <v>7</v>
      </c>
      <c r="L34" s="17">
        <v>12.6</v>
      </c>
      <c r="M34" s="12">
        <v>6</v>
      </c>
      <c r="N34" s="12">
        <v>48.4</v>
      </c>
      <c r="O34" s="12">
        <v>7</v>
      </c>
      <c r="P34" s="12">
        <v>25.5</v>
      </c>
      <c r="Q34" s="12">
        <v>8</v>
      </c>
      <c r="R34" s="12">
        <v>41.4</v>
      </c>
      <c r="S34" s="12">
        <v>7</v>
      </c>
      <c r="T34" s="12">
        <v>336</v>
      </c>
      <c r="U34" s="12">
        <v>5</v>
      </c>
      <c r="V34" s="12">
        <v>67.8</v>
      </c>
      <c r="W34" s="12">
        <v>6</v>
      </c>
      <c r="X34" s="131">
        <f t="shared" si="1"/>
        <v>66</v>
      </c>
    </row>
    <row r="35" spans="1:24" s="4" customFormat="1" ht="12.75" x14ac:dyDescent="0.2">
      <c r="A35" s="12">
        <v>7</v>
      </c>
      <c r="B35" s="11" t="s">
        <v>102</v>
      </c>
      <c r="C35" s="12">
        <v>5.95</v>
      </c>
      <c r="D35" s="16">
        <f>(C35*100)/C29</f>
        <v>101.01867572156198</v>
      </c>
      <c r="E35" s="12">
        <f>5*2</f>
        <v>10</v>
      </c>
      <c r="F35" s="12">
        <v>9</v>
      </c>
      <c r="G35" s="12">
        <v>9</v>
      </c>
      <c r="H35" s="12">
        <v>91</v>
      </c>
      <c r="I35" s="12">
        <v>205</v>
      </c>
      <c r="J35" s="12">
        <v>794</v>
      </c>
      <c r="K35" s="12">
        <v>8</v>
      </c>
      <c r="L35" s="17">
        <v>13.3</v>
      </c>
      <c r="M35" s="12">
        <v>7</v>
      </c>
      <c r="N35" s="12">
        <v>48.9</v>
      </c>
      <c r="O35" s="12">
        <v>7</v>
      </c>
      <c r="P35" s="12">
        <v>28.2</v>
      </c>
      <c r="Q35" s="12">
        <v>8</v>
      </c>
      <c r="R35" s="12">
        <v>54.2</v>
      </c>
      <c r="S35" s="12">
        <v>8</v>
      </c>
      <c r="T35" s="12">
        <v>204</v>
      </c>
      <c r="U35" s="12">
        <v>3</v>
      </c>
      <c r="V35" s="12">
        <v>67.8</v>
      </c>
      <c r="W35" s="12">
        <v>6</v>
      </c>
      <c r="X35" s="131">
        <f t="shared" si="1"/>
        <v>66</v>
      </c>
    </row>
    <row r="36" spans="1:24" s="4" customFormat="1" ht="15" customHeight="1" x14ac:dyDescent="0.2">
      <c r="A36" s="12">
        <v>8</v>
      </c>
      <c r="B36" s="11" t="s">
        <v>103</v>
      </c>
      <c r="C36" s="14">
        <v>6.57</v>
      </c>
      <c r="D36" s="16">
        <f>(C36*100)/C29</f>
        <v>111.54499151103566</v>
      </c>
      <c r="E36" s="12">
        <f>6*2</f>
        <v>12</v>
      </c>
      <c r="F36" s="12">
        <v>8</v>
      </c>
      <c r="G36" s="12">
        <v>9</v>
      </c>
      <c r="H36" s="12">
        <v>78</v>
      </c>
      <c r="I36" s="12">
        <v>208</v>
      </c>
      <c r="J36" s="16">
        <v>758</v>
      </c>
      <c r="K36" s="16">
        <v>6</v>
      </c>
      <c r="L36" s="17">
        <v>12.4</v>
      </c>
      <c r="M36" s="12">
        <v>6</v>
      </c>
      <c r="N36" s="12">
        <v>41.5</v>
      </c>
      <c r="O36" s="12">
        <v>5</v>
      </c>
      <c r="P36" s="12">
        <v>25.2</v>
      </c>
      <c r="Q36" s="12">
        <v>8</v>
      </c>
      <c r="R36" s="17">
        <v>41.6</v>
      </c>
      <c r="S36" s="16">
        <v>7</v>
      </c>
      <c r="T36" s="16">
        <v>195</v>
      </c>
      <c r="U36" s="16">
        <v>2</v>
      </c>
      <c r="V36" s="17">
        <v>66.900000000000006</v>
      </c>
      <c r="W36" s="16">
        <v>4</v>
      </c>
      <c r="X36" s="131">
        <f t="shared" si="1"/>
        <v>58</v>
      </c>
    </row>
    <row r="37" spans="1:24" s="4" customFormat="1" ht="12.75" x14ac:dyDescent="0.2">
      <c r="A37" s="12">
        <v>9</v>
      </c>
      <c r="B37" s="11" t="s">
        <v>104</v>
      </c>
      <c r="C37" s="12">
        <v>6.02</v>
      </c>
      <c r="D37" s="16">
        <f>(C37*100)/C29</f>
        <v>102.20713073005093</v>
      </c>
      <c r="E37" s="12">
        <f>5*2</f>
        <v>10</v>
      </c>
      <c r="F37" s="12">
        <v>8</v>
      </c>
      <c r="G37" s="12">
        <v>9</v>
      </c>
      <c r="H37" s="12">
        <v>77</v>
      </c>
      <c r="I37" s="12">
        <v>205</v>
      </c>
      <c r="J37" s="12">
        <v>781</v>
      </c>
      <c r="K37" s="12">
        <v>7</v>
      </c>
      <c r="L37" s="17">
        <v>11.9</v>
      </c>
      <c r="M37" s="12">
        <v>5</v>
      </c>
      <c r="N37" s="17">
        <v>45</v>
      </c>
      <c r="O37" s="12">
        <v>6</v>
      </c>
      <c r="P37" s="12">
        <v>23.7</v>
      </c>
      <c r="Q37" s="12">
        <v>7</v>
      </c>
      <c r="R37" s="12">
        <v>37.6</v>
      </c>
      <c r="S37" s="12">
        <v>7</v>
      </c>
      <c r="T37" s="12">
        <v>315</v>
      </c>
      <c r="U37" s="12">
        <v>7</v>
      </c>
      <c r="V37" s="12">
        <v>68.5</v>
      </c>
      <c r="W37" s="12">
        <v>7</v>
      </c>
      <c r="X37" s="131">
        <f t="shared" si="1"/>
        <v>64</v>
      </c>
    </row>
    <row r="38" spans="1:24" s="4" customFormat="1" ht="12.75" x14ac:dyDescent="0.2">
      <c r="A38" s="12">
        <v>10</v>
      </c>
      <c r="B38" s="11" t="s">
        <v>105</v>
      </c>
      <c r="C38" s="14">
        <v>6.82</v>
      </c>
      <c r="D38" s="16">
        <f>(C38*100)/C29</f>
        <v>115.78947368421053</v>
      </c>
      <c r="E38" s="12">
        <f>7*2</f>
        <v>14</v>
      </c>
      <c r="F38" s="12">
        <v>9</v>
      </c>
      <c r="G38" s="12">
        <v>9</v>
      </c>
      <c r="H38" s="12">
        <v>77</v>
      </c>
      <c r="I38" s="12">
        <v>205</v>
      </c>
      <c r="J38" s="12">
        <v>767</v>
      </c>
      <c r="K38" s="12">
        <v>6</v>
      </c>
      <c r="L38" s="17">
        <v>12.8</v>
      </c>
      <c r="M38" s="12">
        <v>6</v>
      </c>
      <c r="N38" s="12">
        <v>50.9</v>
      </c>
      <c r="O38" s="12">
        <v>7</v>
      </c>
      <c r="P38" s="12">
        <v>25.9</v>
      </c>
      <c r="Q38" s="12">
        <v>8</v>
      </c>
      <c r="R38" s="12">
        <v>46.9</v>
      </c>
      <c r="S38" s="12">
        <v>8</v>
      </c>
      <c r="T38" s="12">
        <v>312</v>
      </c>
      <c r="U38" s="12">
        <v>7</v>
      </c>
      <c r="V38" s="12">
        <v>67.900000000000006</v>
      </c>
      <c r="W38" s="12">
        <v>6</v>
      </c>
      <c r="X38" s="131">
        <f t="shared" si="1"/>
        <v>71</v>
      </c>
    </row>
    <row r="39" spans="1:24" s="4" customFormat="1" ht="12.75" x14ac:dyDescent="0.2">
      <c r="A39" s="12">
        <v>11</v>
      </c>
      <c r="B39" s="11" t="s">
        <v>106</v>
      </c>
      <c r="C39" s="12">
        <v>6.09</v>
      </c>
      <c r="D39" s="16">
        <f>(C39*100)/C29</f>
        <v>103.39558573853991</v>
      </c>
      <c r="E39" s="12">
        <f>5*2</f>
        <v>10</v>
      </c>
      <c r="F39" s="12">
        <v>8</v>
      </c>
      <c r="G39" s="12">
        <v>9</v>
      </c>
      <c r="H39" s="12">
        <v>85</v>
      </c>
      <c r="I39" s="12">
        <v>205</v>
      </c>
      <c r="J39" s="12">
        <v>783</v>
      </c>
      <c r="K39" s="12">
        <v>7</v>
      </c>
      <c r="L39" s="17">
        <v>12</v>
      </c>
      <c r="M39" s="12">
        <v>6</v>
      </c>
      <c r="N39" s="17">
        <v>47.4</v>
      </c>
      <c r="O39" s="16">
        <v>7</v>
      </c>
      <c r="P39" s="12">
        <v>24.4</v>
      </c>
      <c r="Q39" s="12">
        <v>7</v>
      </c>
      <c r="R39" s="12">
        <v>35.299999999999997</v>
      </c>
      <c r="S39" s="12">
        <v>6</v>
      </c>
      <c r="T39" s="12">
        <v>335</v>
      </c>
      <c r="U39" s="12">
        <v>5</v>
      </c>
      <c r="V39" s="12">
        <v>68.900000000000006</v>
      </c>
      <c r="W39" s="12">
        <v>7</v>
      </c>
      <c r="X39" s="131">
        <f t="shared" si="1"/>
        <v>63</v>
      </c>
    </row>
    <row r="40" spans="1:24" s="4" customFormat="1" ht="12.75" x14ac:dyDescent="0.2">
      <c r="A40" s="12">
        <v>12</v>
      </c>
      <c r="B40" s="11" t="s">
        <v>107</v>
      </c>
      <c r="C40" s="12">
        <v>4.28</v>
      </c>
      <c r="D40" s="16">
        <f>(C40*100)/C29</f>
        <v>72.665534804753818</v>
      </c>
      <c r="E40" s="12">
        <f>3*2</f>
        <v>6</v>
      </c>
      <c r="F40" s="12">
        <v>7</v>
      </c>
      <c r="G40" s="12">
        <v>9</v>
      </c>
      <c r="H40" s="12">
        <v>87</v>
      </c>
      <c r="I40" s="12">
        <v>205</v>
      </c>
      <c r="J40" s="12">
        <v>796</v>
      </c>
      <c r="K40" s="12">
        <v>8</v>
      </c>
      <c r="L40" s="17">
        <v>13</v>
      </c>
      <c r="M40" s="12">
        <v>6</v>
      </c>
      <c r="N40" s="12">
        <v>46.8</v>
      </c>
      <c r="O40" s="12">
        <v>6</v>
      </c>
      <c r="P40" s="12">
        <v>27.6</v>
      </c>
      <c r="Q40" s="12">
        <v>8</v>
      </c>
      <c r="R40" s="17">
        <v>47</v>
      </c>
      <c r="S40" s="12">
        <v>8</v>
      </c>
      <c r="T40" s="12">
        <v>356</v>
      </c>
      <c r="U40" s="12">
        <v>5</v>
      </c>
      <c r="V40" s="17">
        <v>69</v>
      </c>
      <c r="W40" s="12">
        <v>7</v>
      </c>
      <c r="X40" s="131">
        <f t="shared" si="1"/>
        <v>61</v>
      </c>
    </row>
    <row r="41" spans="1:24" s="4" customFormat="1" ht="12.75" x14ac:dyDescent="0.2">
      <c r="A41" s="12">
        <v>13</v>
      </c>
      <c r="B41" s="11" t="s">
        <v>108</v>
      </c>
      <c r="C41" s="12">
        <v>5.28</v>
      </c>
      <c r="D41" s="16">
        <f>(C41*100)/C29</f>
        <v>89.643463497453311</v>
      </c>
      <c r="E41" s="12">
        <f>4*2</f>
        <v>8</v>
      </c>
      <c r="F41" s="12">
        <v>9</v>
      </c>
      <c r="G41" s="12">
        <v>9</v>
      </c>
      <c r="H41" s="12">
        <v>86</v>
      </c>
      <c r="I41" s="12">
        <v>205</v>
      </c>
      <c r="J41" s="12">
        <v>759</v>
      </c>
      <c r="K41" s="12">
        <v>6</v>
      </c>
      <c r="L41" s="17">
        <v>12.4</v>
      </c>
      <c r="M41" s="12">
        <v>6</v>
      </c>
      <c r="N41" s="17">
        <v>48</v>
      </c>
      <c r="O41" s="12">
        <v>7</v>
      </c>
      <c r="P41" s="12">
        <v>24.7</v>
      </c>
      <c r="Q41" s="12">
        <v>7</v>
      </c>
      <c r="R41" s="12">
        <v>44.4</v>
      </c>
      <c r="S41" s="12">
        <v>7</v>
      </c>
      <c r="T41" s="12">
        <v>320</v>
      </c>
      <c r="U41" s="12">
        <v>7</v>
      </c>
      <c r="V41" s="12">
        <v>67.900000000000006</v>
      </c>
      <c r="W41" s="12">
        <v>6</v>
      </c>
      <c r="X41" s="131">
        <f t="shared" si="1"/>
        <v>63</v>
      </c>
    </row>
    <row r="42" spans="1:24" s="4" customFormat="1" ht="12.75" x14ac:dyDescent="0.2">
      <c r="A42" s="12">
        <v>14</v>
      </c>
      <c r="B42" s="11" t="s">
        <v>109</v>
      </c>
      <c r="C42" s="12">
        <v>6.25</v>
      </c>
      <c r="D42" s="16">
        <f>(C42*100)/C29</f>
        <v>106.11205432937182</v>
      </c>
      <c r="E42" s="12">
        <f>6*2</f>
        <v>12</v>
      </c>
      <c r="F42" s="12">
        <v>9</v>
      </c>
      <c r="G42" s="12">
        <v>9</v>
      </c>
      <c r="H42" s="12">
        <v>85</v>
      </c>
      <c r="I42" s="12">
        <v>208</v>
      </c>
      <c r="J42" s="16">
        <v>781</v>
      </c>
      <c r="K42" s="16">
        <v>7</v>
      </c>
      <c r="L42" s="17">
        <v>12</v>
      </c>
      <c r="M42" s="12">
        <v>6</v>
      </c>
      <c r="N42" s="12">
        <v>42.3</v>
      </c>
      <c r="O42" s="12">
        <v>5</v>
      </c>
      <c r="P42" s="12">
        <v>24.2</v>
      </c>
      <c r="Q42" s="12">
        <v>7</v>
      </c>
      <c r="R42" s="17">
        <v>33.5</v>
      </c>
      <c r="S42" s="16">
        <v>6</v>
      </c>
      <c r="T42" s="16">
        <v>226</v>
      </c>
      <c r="U42" s="16">
        <v>7</v>
      </c>
      <c r="V42" s="17">
        <v>68.599999999999994</v>
      </c>
      <c r="W42" s="16">
        <v>7</v>
      </c>
      <c r="X42" s="131">
        <f t="shared" si="1"/>
        <v>66</v>
      </c>
    </row>
    <row r="43" spans="1:24" s="4" customFormat="1" ht="12.75" x14ac:dyDescent="0.2">
      <c r="A43" s="12">
        <v>15</v>
      </c>
      <c r="B43" s="11" t="s">
        <v>110</v>
      </c>
      <c r="C43" s="14">
        <v>4.9000000000000004</v>
      </c>
      <c r="D43" s="16">
        <f>(C43*100)/C29</f>
        <v>83.191850594227517</v>
      </c>
      <c r="E43" s="12">
        <f>3*2</f>
        <v>6</v>
      </c>
      <c r="F43" s="12">
        <v>8</v>
      </c>
      <c r="G43" s="12">
        <v>9</v>
      </c>
      <c r="H43" s="12">
        <v>89</v>
      </c>
      <c r="I43" s="12">
        <v>208</v>
      </c>
      <c r="J43" s="12">
        <v>765</v>
      </c>
      <c r="K43" s="12">
        <v>6</v>
      </c>
      <c r="L43" s="17">
        <v>13.2</v>
      </c>
      <c r="M43" s="12">
        <v>7</v>
      </c>
      <c r="N43" s="12">
        <v>43.2</v>
      </c>
      <c r="O43" s="12">
        <v>6</v>
      </c>
      <c r="P43" s="12">
        <v>27.2</v>
      </c>
      <c r="Q43" s="12">
        <v>8</v>
      </c>
      <c r="R43" s="12">
        <v>49.7</v>
      </c>
      <c r="S43" s="12">
        <v>8</v>
      </c>
      <c r="T43" s="12">
        <v>362</v>
      </c>
      <c r="U43" s="12">
        <v>5</v>
      </c>
      <c r="V43" s="12">
        <v>67.2</v>
      </c>
      <c r="W43" s="12">
        <v>5</v>
      </c>
      <c r="X43" s="131">
        <f t="shared" si="1"/>
        <v>59</v>
      </c>
    </row>
    <row r="44" spans="1:24" s="4" customFormat="1" ht="12.75" x14ac:dyDescent="0.2">
      <c r="A44" s="12">
        <v>16</v>
      </c>
      <c r="B44" s="11" t="s">
        <v>111</v>
      </c>
      <c r="C44" s="12">
        <v>6.14</v>
      </c>
      <c r="D44" s="16">
        <f>(C44*100)/C29</f>
        <v>104.24448217317487</v>
      </c>
      <c r="E44" s="12">
        <f>5*2</f>
        <v>10</v>
      </c>
      <c r="F44" s="12">
        <v>7</v>
      </c>
      <c r="G44" s="12">
        <v>9</v>
      </c>
      <c r="H44" s="12">
        <v>88</v>
      </c>
      <c r="I44" s="12">
        <v>205</v>
      </c>
      <c r="J44" s="12">
        <v>752</v>
      </c>
      <c r="K44" s="12">
        <v>6</v>
      </c>
      <c r="L44" s="17">
        <v>12.2</v>
      </c>
      <c r="M44" s="12">
        <v>6</v>
      </c>
      <c r="N44" s="12">
        <v>43.4</v>
      </c>
      <c r="O44" s="12">
        <v>6</v>
      </c>
      <c r="P44" s="17">
        <v>24</v>
      </c>
      <c r="Q44" s="12">
        <v>7</v>
      </c>
      <c r="R44" s="12">
        <v>40.700000000000003</v>
      </c>
      <c r="S44" s="12">
        <v>7</v>
      </c>
      <c r="T44" s="12">
        <v>256</v>
      </c>
      <c r="U44" s="12">
        <v>9</v>
      </c>
      <c r="V44" s="12">
        <v>68.2</v>
      </c>
      <c r="W44" s="12">
        <v>6</v>
      </c>
      <c r="X44" s="131">
        <f t="shared" si="1"/>
        <v>64</v>
      </c>
    </row>
    <row r="45" spans="1:24" s="4" customFormat="1" ht="12.75" x14ac:dyDescent="0.2">
      <c r="A45" s="12">
        <v>17</v>
      </c>
      <c r="B45" s="11" t="s">
        <v>112</v>
      </c>
      <c r="C45" s="12">
        <v>6.82</v>
      </c>
      <c r="D45" s="16">
        <f>(C45*100)/C29</f>
        <v>115.78947368421053</v>
      </c>
      <c r="E45" s="12">
        <f>7*2</f>
        <v>14</v>
      </c>
      <c r="F45" s="12">
        <v>9</v>
      </c>
      <c r="G45" s="12">
        <v>9</v>
      </c>
      <c r="H45" s="12">
        <v>80</v>
      </c>
      <c r="I45" s="12">
        <v>205</v>
      </c>
      <c r="J45" s="12">
        <v>779</v>
      </c>
      <c r="K45" s="12">
        <v>7</v>
      </c>
      <c r="L45" s="17">
        <v>12.9</v>
      </c>
      <c r="M45" s="12">
        <v>6</v>
      </c>
      <c r="N45" s="12">
        <v>49.7</v>
      </c>
      <c r="O45" s="12">
        <v>7</v>
      </c>
      <c r="P45" s="12">
        <v>26.9</v>
      </c>
      <c r="Q45" s="12">
        <v>8</v>
      </c>
      <c r="R45" s="12">
        <v>48.1</v>
      </c>
      <c r="S45" s="12">
        <v>8</v>
      </c>
      <c r="T45" s="12">
        <v>362</v>
      </c>
      <c r="U45" s="12">
        <v>5</v>
      </c>
      <c r="V45" s="12">
        <v>67.3</v>
      </c>
      <c r="W45" s="12">
        <v>5</v>
      </c>
      <c r="X45" s="131">
        <f t="shared" si="1"/>
        <v>69</v>
      </c>
    </row>
    <row r="46" spans="1:24" s="4" customFormat="1" ht="12.75" x14ac:dyDescent="0.2">
      <c r="A46" s="12">
        <v>18</v>
      </c>
      <c r="B46" s="11" t="s">
        <v>113</v>
      </c>
      <c r="C46" s="14">
        <v>6.1</v>
      </c>
      <c r="D46" s="16">
        <f>(C46*100)/C29</f>
        <v>103.5653650254669</v>
      </c>
      <c r="E46" s="12">
        <f>5*2</f>
        <v>10</v>
      </c>
      <c r="F46" s="12">
        <v>9</v>
      </c>
      <c r="G46" s="12">
        <v>9</v>
      </c>
      <c r="H46" s="12">
        <v>85</v>
      </c>
      <c r="I46" s="12">
        <v>205</v>
      </c>
      <c r="J46" s="12">
        <v>789</v>
      </c>
      <c r="K46" s="12">
        <v>8</v>
      </c>
      <c r="L46" s="17">
        <v>12.4</v>
      </c>
      <c r="M46" s="12">
        <v>6</v>
      </c>
      <c r="N46" s="17">
        <v>47</v>
      </c>
      <c r="O46" s="12">
        <v>7</v>
      </c>
      <c r="P46" s="12">
        <v>24.9</v>
      </c>
      <c r="Q46" s="12">
        <v>7</v>
      </c>
      <c r="R46" s="12">
        <v>41.3</v>
      </c>
      <c r="S46" s="12">
        <v>7</v>
      </c>
      <c r="T46" s="12">
        <v>343</v>
      </c>
      <c r="U46" s="12">
        <v>5</v>
      </c>
      <c r="V46" s="12">
        <v>67.900000000000006</v>
      </c>
      <c r="W46" s="12">
        <v>6</v>
      </c>
      <c r="X46" s="131">
        <f t="shared" si="1"/>
        <v>65</v>
      </c>
    </row>
    <row r="47" spans="1:24" s="4" customFormat="1" ht="12.75" x14ac:dyDescent="0.2">
      <c r="A47" s="12">
        <v>19</v>
      </c>
      <c r="B47" s="11" t="s">
        <v>114</v>
      </c>
      <c r="C47" s="12">
        <v>7.05</v>
      </c>
      <c r="D47" s="16">
        <f>(C47*100)/C29</f>
        <v>119.69439728353142</v>
      </c>
      <c r="E47" s="12">
        <f>7*2</f>
        <v>14</v>
      </c>
      <c r="F47" s="12">
        <v>8</v>
      </c>
      <c r="G47" s="12">
        <v>9</v>
      </c>
      <c r="H47" s="12">
        <v>94</v>
      </c>
      <c r="I47" s="12">
        <v>205</v>
      </c>
      <c r="J47" s="12">
        <v>738</v>
      </c>
      <c r="K47" s="12">
        <v>5</v>
      </c>
      <c r="L47" s="17">
        <v>11.8</v>
      </c>
      <c r="M47" s="12">
        <v>5</v>
      </c>
      <c r="N47" s="12">
        <v>43.8</v>
      </c>
      <c r="O47" s="12">
        <v>6</v>
      </c>
      <c r="P47" s="12">
        <v>22.2</v>
      </c>
      <c r="Q47" s="12">
        <v>5</v>
      </c>
      <c r="R47" s="12">
        <v>36.200000000000003</v>
      </c>
      <c r="S47" s="12">
        <v>7</v>
      </c>
      <c r="T47" s="12">
        <v>304</v>
      </c>
      <c r="U47" s="12">
        <v>7</v>
      </c>
      <c r="V47" s="12">
        <v>67.3</v>
      </c>
      <c r="W47" s="12">
        <v>5</v>
      </c>
      <c r="X47" s="131">
        <f t="shared" si="1"/>
        <v>62</v>
      </c>
    </row>
    <row r="48" spans="1:24" s="4" customFormat="1" ht="12.75" x14ac:dyDescent="0.2">
      <c r="A48" s="5" t="s">
        <v>115</v>
      </c>
      <c r="X48" s="145"/>
    </row>
    <row r="49" spans="1:24" s="4" customFormat="1" ht="12.75" x14ac:dyDescent="0.2">
      <c r="A49" s="12">
        <v>1</v>
      </c>
      <c r="B49" s="11" t="s">
        <v>96</v>
      </c>
      <c r="C49" s="12">
        <f>(3.65+3.29)/2</f>
        <v>3.4699999999999998</v>
      </c>
      <c r="D49" s="12">
        <v>100</v>
      </c>
      <c r="E49" s="12">
        <f>5*2</f>
        <v>10</v>
      </c>
      <c r="F49" s="12">
        <f>(7+6)/2</f>
        <v>6.5</v>
      </c>
      <c r="G49" s="12">
        <v>9</v>
      </c>
      <c r="H49" s="12">
        <f>(69+65)/2</f>
        <v>67</v>
      </c>
      <c r="I49" s="12">
        <v>203</v>
      </c>
      <c r="J49" s="16">
        <f>(789+774)/2</f>
        <v>781.5</v>
      </c>
      <c r="K49" s="12">
        <v>7</v>
      </c>
      <c r="L49" s="17">
        <f>(14.4+15.1)/2</f>
        <v>14.75</v>
      </c>
      <c r="M49" s="12">
        <v>8</v>
      </c>
      <c r="N49" s="12">
        <f>(36.4+38)/2</f>
        <v>37.200000000000003</v>
      </c>
      <c r="O49" s="12">
        <v>4</v>
      </c>
      <c r="P49" s="17">
        <f>(28.8+30.5)/2</f>
        <v>29.65</v>
      </c>
      <c r="Q49" s="12">
        <v>9</v>
      </c>
      <c r="R49" s="12">
        <f>(60+63.2)/2</f>
        <v>61.6</v>
      </c>
      <c r="S49" s="12">
        <v>9</v>
      </c>
      <c r="T49" s="12">
        <f>(94+116)/2</f>
        <v>105</v>
      </c>
      <c r="U49" s="12">
        <v>1</v>
      </c>
      <c r="V49" s="17">
        <f>(66+65.5)/2</f>
        <v>65.75</v>
      </c>
      <c r="W49" s="12">
        <v>3</v>
      </c>
      <c r="X49" s="131">
        <f>E49+F49+K49+M49+O49+Q49+S49+U49+W49</f>
        <v>57.5</v>
      </c>
    </row>
    <row r="50" spans="1:24" s="4" customFormat="1" ht="12.75" x14ac:dyDescent="0.2">
      <c r="A50" s="12">
        <v>2</v>
      </c>
      <c r="B50" s="11" t="s">
        <v>97</v>
      </c>
      <c r="C50" s="12">
        <v>3.58</v>
      </c>
      <c r="D50" s="16">
        <f>(C50*100)/C49</f>
        <v>103.17002881844381</v>
      </c>
      <c r="E50" s="12">
        <f>5*2</f>
        <v>10</v>
      </c>
      <c r="F50" s="12">
        <v>8</v>
      </c>
      <c r="G50" s="12">
        <v>9</v>
      </c>
      <c r="H50" s="12">
        <v>73</v>
      </c>
      <c r="I50" s="12">
        <v>198</v>
      </c>
      <c r="J50" s="12">
        <v>740</v>
      </c>
      <c r="K50" s="12">
        <v>5</v>
      </c>
      <c r="L50" s="17">
        <v>16</v>
      </c>
      <c r="M50" s="12">
        <v>9</v>
      </c>
      <c r="N50" s="12">
        <v>40.4</v>
      </c>
      <c r="O50" s="12">
        <v>5</v>
      </c>
      <c r="P50" s="12">
        <v>28.2</v>
      </c>
      <c r="Q50" s="12">
        <v>8</v>
      </c>
      <c r="R50" s="12">
        <v>60.2</v>
      </c>
      <c r="S50" s="12">
        <v>9</v>
      </c>
      <c r="T50" s="12">
        <v>69</v>
      </c>
      <c r="U50" s="12">
        <v>1</v>
      </c>
      <c r="V50" s="12">
        <v>64.3</v>
      </c>
      <c r="W50" s="12">
        <v>1</v>
      </c>
      <c r="X50" s="131">
        <f t="shared" ref="X50:X67" si="2">E50+F50+K50+M50+O50+Q50+S50+U50+W50</f>
        <v>56</v>
      </c>
    </row>
    <row r="51" spans="1:24" s="4" customFormat="1" ht="12.75" x14ac:dyDescent="0.2">
      <c r="A51" s="12">
        <v>3</v>
      </c>
      <c r="B51" s="11" t="s">
        <v>98</v>
      </c>
      <c r="C51" s="12">
        <v>3.07</v>
      </c>
      <c r="D51" s="16">
        <f>(C51*100)/C49</f>
        <v>88.472622478386171</v>
      </c>
      <c r="E51" s="12">
        <f>4*2</f>
        <v>8</v>
      </c>
      <c r="F51" s="12">
        <v>7</v>
      </c>
      <c r="G51" s="12">
        <v>9</v>
      </c>
      <c r="H51" s="12">
        <v>61</v>
      </c>
      <c r="I51" s="12">
        <v>203</v>
      </c>
      <c r="J51" s="12">
        <v>743</v>
      </c>
      <c r="K51" s="12">
        <v>5</v>
      </c>
      <c r="L51" s="12">
        <v>15.8</v>
      </c>
      <c r="M51" s="12">
        <v>8</v>
      </c>
      <c r="N51" s="12">
        <v>39.200000000000003</v>
      </c>
      <c r="O51" s="12">
        <v>5</v>
      </c>
      <c r="P51" s="12">
        <v>29.7</v>
      </c>
      <c r="Q51" s="12">
        <v>9</v>
      </c>
      <c r="R51" s="17">
        <v>63</v>
      </c>
      <c r="S51" s="12">
        <v>9</v>
      </c>
      <c r="T51" s="12">
        <v>62</v>
      </c>
      <c r="U51" s="12">
        <v>1</v>
      </c>
      <c r="V51" s="12">
        <v>65.2</v>
      </c>
      <c r="W51" s="12">
        <v>2</v>
      </c>
      <c r="X51" s="131">
        <f t="shared" si="2"/>
        <v>54</v>
      </c>
    </row>
    <row r="52" spans="1:24" s="4" customFormat="1" ht="12.75" x14ac:dyDescent="0.2">
      <c r="A52" s="12">
        <v>4</v>
      </c>
      <c r="B52" s="11" t="s">
        <v>99</v>
      </c>
      <c r="C52" s="12">
        <v>2.59</v>
      </c>
      <c r="D52" s="16">
        <f>(C52*100)/C49</f>
        <v>74.639769452449571</v>
      </c>
      <c r="E52" s="12">
        <f>2*2</f>
        <v>4</v>
      </c>
      <c r="F52" s="12">
        <v>8</v>
      </c>
      <c r="G52" s="12">
        <v>9</v>
      </c>
      <c r="H52" s="12">
        <v>58</v>
      </c>
      <c r="I52" s="12">
        <v>194</v>
      </c>
      <c r="J52" s="12">
        <v>751</v>
      </c>
      <c r="K52" s="12">
        <v>6</v>
      </c>
      <c r="L52" s="12">
        <v>15.9</v>
      </c>
      <c r="M52" s="12">
        <v>8</v>
      </c>
      <c r="N52" s="12">
        <v>47.6</v>
      </c>
      <c r="O52" s="12">
        <v>7</v>
      </c>
      <c r="P52" s="12">
        <v>28.4</v>
      </c>
      <c r="Q52" s="12">
        <v>8</v>
      </c>
      <c r="R52" s="12">
        <v>62.1</v>
      </c>
      <c r="S52" s="12">
        <v>9</v>
      </c>
      <c r="T52" s="12">
        <v>94</v>
      </c>
      <c r="U52" s="12">
        <v>1</v>
      </c>
      <c r="V52" s="12">
        <v>63.7</v>
      </c>
      <c r="W52" s="12">
        <v>1</v>
      </c>
      <c r="X52" s="131">
        <f t="shared" si="2"/>
        <v>52</v>
      </c>
    </row>
    <row r="53" spans="1:24" s="4" customFormat="1" ht="12.75" x14ac:dyDescent="0.2">
      <c r="A53" s="12">
        <v>5</v>
      </c>
      <c r="B53" s="11" t="s">
        <v>100</v>
      </c>
      <c r="C53" s="12">
        <v>2.83</v>
      </c>
      <c r="D53" s="16">
        <f>(C53*100)/C49</f>
        <v>81.556195965417871</v>
      </c>
      <c r="E53" s="12">
        <f>3*2</f>
        <v>6</v>
      </c>
      <c r="F53" s="12">
        <v>6</v>
      </c>
      <c r="G53" s="12">
        <v>9</v>
      </c>
      <c r="H53" s="12">
        <v>61</v>
      </c>
      <c r="I53" s="12">
        <v>198</v>
      </c>
      <c r="J53" s="12">
        <v>756</v>
      </c>
      <c r="K53" s="12">
        <v>5</v>
      </c>
      <c r="L53" s="12">
        <v>13.8</v>
      </c>
      <c r="M53" s="12">
        <v>7</v>
      </c>
      <c r="N53" s="12">
        <v>38.200000000000003</v>
      </c>
      <c r="O53" s="12">
        <v>4</v>
      </c>
      <c r="P53" s="12">
        <v>24.8</v>
      </c>
      <c r="Q53" s="12">
        <v>7</v>
      </c>
      <c r="R53" s="12">
        <v>53.7</v>
      </c>
      <c r="S53" s="12">
        <v>8</v>
      </c>
      <c r="T53" s="12">
        <v>84</v>
      </c>
      <c r="U53" s="12">
        <v>1</v>
      </c>
      <c r="V53" s="12">
        <v>66.5</v>
      </c>
      <c r="W53" s="12">
        <v>4</v>
      </c>
      <c r="X53" s="131">
        <f t="shared" si="2"/>
        <v>48</v>
      </c>
    </row>
    <row r="54" spans="1:24" s="4" customFormat="1" ht="12.75" x14ac:dyDescent="0.2">
      <c r="A54" s="12">
        <v>6</v>
      </c>
      <c r="B54" s="11" t="s">
        <v>101</v>
      </c>
      <c r="C54" s="12">
        <v>3.35</v>
      </c>
      <c r="D54" s="16">
        <f>(C54*100)/C49</f>
        <v>96.541786743515857</v>
      </c>
      <c r="E54" s="12">
        <f>5*2</f>
        <v>10</v>
      </c>
      <c r="F54" s="12">
        <v>7</v>
      </c>
      <c r="G54" s="12">
        <v>9</v>
      </c>
      <c r="H54" s="12">
        <v>59</v>
      </c>
      <c r="I54" s="12">
        <v>198</v>
      </c>
      <c r="J54" s="12">
        <v>760</v>
      </c>
      <c r="K54" s="12">
        <v>6</v>
      </c>
      <c r="L54" s="12">
        <v>14.4</v>
      </c>
      <c r="M54" s="12">
        <v>8</v>
      </c>
      <c r="N54" s="12">
        <v>42.4</v>
      </c>
      <c r="O54" s="12">
        <v>5</v>
      </c>
      <c r="P54" s="17">
        <v>25</v>
      </c>
      <c r="Q54" s="12">
        <v>7</v>
      </c>
      <c r="R54" s="12">
        <v>58.8</v>
      </c>
      <c r="S54" s="12">
        <v>9</v>
      </c>
      <c r="T54" s="12">
        <v>77</v>
      </c>
      <c r="U54" s="12">
        <v>1</v>
      </c>
      <c r="V54" s="12">
        <v>65.3</v>
      </c>
      <c r="W54" s="12">
        <v>3</v>
      </c>
      <c r="X54" s="131">
        <f t="shared" si="2"/>
        <v>56</v>
      </c>
    </row>
    <row r="55" spans="1:24" s="4" customFormat="1" ht="12.75" x14ac:dyDescent="0.2">
      <c r="A55" s="12">
        <v>7</v>
      </c>
      <c r="B55" s="11" t="s">
        <v>102</v>
      </c>
      <c r="C55" s="12">
        <v>1.89</v>
      </c>
      <c r="D55" s="16">
        <f>(C55*100)/C49</f>
        <v>54.466858789625363</v>
      </c>
      <c r="E55" s="12">
        <f>1*2</f>
        <v>2</v>
      </c>
      <c r="F55" s="12">
        <v>5</v>
      </c>
      <c r="G55" s="12">
        <v>8</v>
      </c>
      <c r="H55" s="12">
        <v>67</v>
      </c>
      <c r="I55" s="12">
        <v>198</v>
      </c>
      <c r="J55" s="12">
        <v>776</v>
      </c>
      <c r="K55" s="12">
        <v>7</v>
      </c>
      <c r="L55" s="12">
        <v>15.5</v>
      </c>
      <c r="M55" s="12">
        <v>8</v>
      </c>
      <c r="N55" s="12">
        <v>42.2</v>
      </c>
      <c r="O55" s="12">
        <v>5</v>
      </c>
      <c r="P55" s="12">
        <v>29.1</v>
      </c>
      <c r="Q55" s="12">
        <v>9</v>
      </c>
      <c r="R55" s="17">
        <v>63</v>
      </c>
      <c r="S55" s="12">
        <v>9</v>
      </c>
      <c r="T55" s="12">
        <v>82</v>
      </c>
      <c r="U55" s="12">
        <v>1</v>
      </c>
      <c r="V55" s="12">
        <v>65.599999999999994</v>
      </c>
      <c r="W55" s="12">
        <v>2</v>
      </c>
      <c r="X55" s="131">
        <f t="shared" si="2"/>
        <v>48</v>
      </c>
    </row>
    <row r="56" spans="1:24" s="4" customFormat="1" ht="15.75" customHeight="1" x14ac:dyDescent="0.2">
      <c r="A56" s="12">
        <v>8</v>
      </c>
      <c r="B56" s="11" t="s">
        <v>103</v>
      </c>
      <c r="C56" s="14">
        <v>2</v>
      </c>
      <c r="D56" s="16">
        <f>(C56*100)/C49</f>
        <v>57.636887608069166</v>
      </c>
      <c r="E56" s="12">
        <f>1*2</f>
        <v>2</v>
      </c>
      <c r="F56" s="12">
        <v>4</v>
      </c>
      <c r="G56" s="12">
        <v>9</v>
      </c>
      <c r="H56" s="12">
        <v>61</v>
      </c>
      <c r="I56" s="12">
        <v>204</v>
      </c>
      <c r="J56" s="12">
        <v>746</v>
      </c>
      <c r="K56" s="12">
        <v>5</v>
      </c>
      <c r="L56" s="12">
        <v>14.7</v>
      </c>
      <c r="M56" s="12">
        <v>8</v>
      </c>
      <c r="N56" s="12">
        <v>41.2</v>
      </c>
      <c r="O56" s="12">
        <v>5</v>
      </c>
      <c r="P56" s="12">
        <v>27.9</v>
      </c>
      <c r="Q56" s="12">
        <v>8</v>
      </c>
      <c r="R56" s="12">
        <v>59.2</v>
      </c>
      <c r="S56" s="12">
        <v>9</v>
      </c>
      <c r="T56" s="12">
        <v>189</v>
      </c>
      <c r="U56" s="12">
        <v>2</v>
      </c>
      <c r="V56" s="12">
        <v>64.8</v>
      </c>
      <c r="W56" s="12">
        <v>1</v>
      </c>
      <c r="X56" s="131">
        <f t="shared" si="2"/>
        <v>44</v>
      </c>
    </row>
    <row r="57" spans="1:24" s="4" customFormat="1" ht="12.75" x14ac:dyDescent="0.2">
      <c r="A57" s="12">
        <v>9</v>
      </c>
      <c r="B57" s="11" t="s">
        <v>104</v>
      </c>
      <c r="C57" s="12">
        <v>2.34</v>
      </c>
      <c r="D57" s="16">
        <f>(C57*100)/C49</f>
        <v>67.435158501440924</v>
      </c>
      <c r="E57" s="12">
        <f>2*2</f>
        <v>4</v>
      </c>
      <c r="F57" s="12">
        <v>6</v>
      </c>
      <c r="G57" s="12">
        <v>9</v>
      </c>
      <c r="H57" s="12">
        <v>66</v>
      </c>
      <c r="I57" s="12">
        <v>199</v>
      </c>
      <c r="J57" s="12">
        <v>760</v>
      </c>
      <c r="K57" s="12">
        <v>6</v>
      </c>
      <c r="L57" s="12">
        <v>12.9</v>
      </c>
      <c r="M57" s="12">
        <v>6</v>
      </c>
      <c r="N57" s="12">
        <v>40.799999999999997</v>
      </c>
      <c r="O57" s="12">
        <v>5</v>
      </c>
      <c r="P57" s="12">
        <v>23.9</v>
      </c>
      <c r="Q57" s="12">
        <v>7</v>
      </c>
      <c r="R57" s="12">
        <v>48.5</v>
      </c>
      <c r="S57" s="12">
        <v>8</v>
      </c>
      <c r="T57" s="12">
        <v>141</v>
      </c>
      <c r="U57" s="12">
        <v>1</v>
      </c>
      <c r="V57" s="12">
        <v>67.599999999999994</v>
      </c>
      <c r="W57" s="12">
        <v>5</v>
      </c>
      <c r="X57" s="131">
        <f t="shared" si="2"/>
        <v>48</v>
      </c>
    </row>
    <row r="58" spans="1:24" s="4" customFormat="1" ht="12.75" x14ac:dyDescent="0.2">
      <c r="A58" s="12">
        <v>10</v>
      </c>
      <c r="B58" s="11" t="s">
        <v>105</v>
      </c>
      <c r="C58" s="12">
        <v>3.35</v>
      </c>
      <c r="D58" s="16">
        <f>(C58*100)/C49</f>
        <v>96.541786743515857</v>
      </c>
      <c r="E58" s="12">
        <f>5*2</f>
        <v>10</v>
      </c>
      <c r="F58" s="12">
        <v>7</v>
      </c>
      <c r="G58" s="12">
        <v>9</v>
      </c>
      <c r="H58" s="12">
        <v>65</v>
      </c>
      <c r="I58" s="12">
        <v>198</v>
      </c>
      <c r="J58" s="12">
        <v>741</v>
      </c>
      <c r="K58" s="12">
        <v>5</v>
      </c>
      <c r="L58" s="17">
        <v>15</v>
      </c>
      <c r="M58" s="12">
        <v>8</v>
      </c>
      <c r="N58" s="17">
        <v>46</v>
      </c>
      <c r="O58" s="12">
        <v>6</v>
      </c>
      <c r="P58" s="12">
        <v>26.6</v>
      </c>
      <c r="Q58" s="12">
        <v>7</v>
      </c>
      <c r="R58" s="12">
        <v>59.5</v>
      </c>
      <c r="S58" s="12">
        <v>9</v>
      </c>
      <c r="T58" s="12">
        <v>74</v>
      </c>
      <c r="U58" s="12">
        <v>1</v>
      </c>
      <c r="V58" s="12">
        <v>64.599999999999994</v>
      </c>
      <c r="W58" s="12">
        <v>1</v>
      </c>
      <c r="X58" s="131">
        <f t="shared" si="2"/>
        <v>54</v>
      </c>
    </row>
    <row r="59" spans="1:24" s="4" customFormat="1" ht="12.75" x14ac:dyDescent="0.2">
      <c r="A59" s="12">
        <v>11</v>
      </c>
      <c r="B59" s="11" t="s">
        <v>106</v>
      </c>
      <c r="C59" s="12">
        <v>2.73</v>
      </c>
      <c r="D59" s="16">
        <f>(C59*100)/C49</f>
        <v>78.674351585014421</v>
      </c>
      <c r="E59" s="12">
        <f>3*2</f>
        <v>6</v>
      </c>
      <c r="F59" s="12">
        <v>7</v>
      </c>
      <c r="G59" s="12">
        <v>8</v>
      </c>
      <c r="H59" s="12">
        <v>62</v>
      </c>
      <c r="I59" s="12">
        <v>198</v>
      </c>
      <c r="J59" s="12">
        <v>771</v>
      </c>
      <c r="K59" s="12">
        <v>7</v>
      </c>
      <c r="L59" s="12">
        <v>13.7</v>
      </c>
      <c r="M59" s="12">
        <v>7</v>
      </c>
      <c r="N59" s="17">
        <v>42</v>
      </c>
      <c r="O59" s="12">
        <v>5</v>
      </c>
      <c r="P59" s="12">
        <v>25.7</v>
      </c>
      <c r="Q59" s="12">
        <v>7</v>
      </c>
      <c r="R59" s="12">
        <v>56.2</v>
      </c>
      <c r="S59" s="12">
        <v>9</v>
      </c>
      <c r="T59" s="12">
        <v>176</v>
      </c>
      <c r="U59" s="12">
        <v>1</v>
      </c>
      <c r="V59" s="17">
        <v>67</v>
      </c>
      <c r="W59" s="12">
        <v>4</v>
      </c>
      <c r="X59" s="131">
        <f t="shared" si="2"/>
        <v>53</v>
      </c>
    </row>
    <row r="60" spans="1:24" s="4" customFormat="1" ht="12.75" x14ac:dyDescent="0.2">
      <c r="A60" s="12">
        <v>12</v>
      </c>
      <c r="B60" s="11" t="s">
        <v>107</v>
      </c>
      <c r="C60" s="12">
        <v>0.98</v>
      </c>
      <c r="D60" s="16">
        <f>(C60*100)/C49</f>
        <v>28.242074927953894</v>
      </c>
      <c r="E60" s="12">
        <f>1*2</f>
        <v>2</v>
      </c>
      <c r="F60" s="12">
        <v>4</v>
      </c>
      <c r="G60" s="12">
        <v>8</v>
      </c>
      <c r="H60" s="12">
        <v>64</v>
      </c>
      <c r="I60" s="12">
        <v>199</v>
      </c>
      <c r="J60" s="12">
        <v>776</v>
      </c>
      <c r="K60" s="12">
        <v>7</v>
      </c>
      <c r="L60" s="12">
        <v>15.8</v>
      </c>
      <c r="M60" s="12">
        <v>8</v>
      </c>
      <c r="N60" s="12">
        <v>38.799999999999997</v>
      </c>
      <c r="O60" s="12">
        <v>4</v>
      </c>
      <c r="P60" s="12">
        <v>30.9</v>
      </c>
      <c r="Q60" s="12">
        <v>9</v>
      </c>
      <c r="R60" s="12">
        <v>64.599999999999994</v>
      </c>
      <c r="S60" s="12">
        <v>9</v>
      </c>
      <c r="T60" s="12">
        <v>123</v>
      </c>
      <c r="U60" s="12">
        <v>1</v>
      </c>
      <c r="V60" s="12">
        <v>65.8</v>
      </c>
      <c r="W60" s="12">
        <v>3</v>
      </c>
      <c r="X60" s="131">
        <f t="shared" si="2"/>
        <v>47</v>
      </c>
    </row>
    <row r="61" spans="1:24" s="4" customFormat="1" ht="12.75" x14ac:dyDescent="0.2">
      <c r="A61" s="12">
        <v>13</v>
      </c>
      <c r="B61" s="11" t="s">
        <v>108</v>
      </c>
      <c r="C61" s="12">
        <v>3.54</v>
      </c>
      <c r="D61" s="16">
        <f>(C61*100)/C49</f>
        <v>102.01729106628243</v>
      </c>
      <c r="E61" s="12">
        <f>5*2</f>
        <v>10</v>
      </c>
      <c r="F61" s="12">
        <v>8</v>
      </c>
      <c r="G61" s="12">
        <v>8</v>
      </c>
      <c r="H61" s="12">
        <v>65</v>
      </c>
      <c r="I61" s="12">
        <v>198</v>
      </c>
      <c r="J61" s="12">
        <v>729</v>
      </c>
      <c r="K61" s="12">
        <v>4</v>
      </c>
      <c r="L61" s="12">
        <v>14.4</v>
      </c>
      <c r="M61" s="12">
        <v>8</v>
      </c>
      <c r="N61" s="12">
        <v>45.4</v>
      </c>
      <c r="O61" s="12">
        <v>6</v>
      </c>
      <c r="P61" s="12">
        <v>23.9</v>
      </c>
      <c r="Q61" s="12">
        <v>7</v>
      </c>
      <c r="R61" s="12">
        <v>55.3</v>
      </c>
      <c r="S61" s="12">
        <v>8</v>
      </c>
      <c r="T61" s="12">
        <v>98</v>
      </c>
      <c r="U61" s="12">
        <v>1</v>
      </c>
      <c r="V61" s="12">
        <v>65.5</v>
      </c>
      <c r="W61" s="12">
        <v>2</v>
      </c>
      <c r="X61" s="131">
        <f t="shared" si="2"/>
        <v>54</v>
      </c>
    </row>
    <row r="62" spans="1:24" s="4" customFormat="1" ht="12.75" x14ac:dyDescent="0.2">
      <c r="A62" s="12">
        <v>14</v>
      </c>
      <c r="B62" s="11" t="s">
        <v>109</v>
      </c>
      <c r="C62" s="12">
        <v>3.31</v>
      </c>
      <c r="D62" s="16">
        <f>(C62*100)/C49</f>
        <v>95.389048991354471</v>
      </c>
      <c r="E62" s="12">
        <f>4*2</f>
        <v>8</v>
      </c>
      <c r="F62" s="12">
        <v>6</v>
      </c>
      <c r="G62" s="12">
        <v>9</v>
      </c>
      <c r="H62" s="12">
        <v>64</v>
      </c>
      <c r="I62" s="12">
        <v>200</v>
      </c>
      <c r="J62" s="12">
        <v>776</v>
      </c>
      <c r="K62" s="12">
        <v>7</v>
      </c>
      <c r="L62" s="12">
        <v>14.6</v>
      </c>
      <c r="M62" s="12">
        <v>8</v>
      </c>
      <c r="N62" s="12">
        <v>43.4</v>
      </c>
      <c r="O62" s="12">
        <v>6</v>
      </c>
      <c r="P62" s="12">
        <v>27.1</v>
      </c>
      <c r="Q62" s="12">
        <v>8</v>
      </c>
      <c r="R62" s="12">
        <v>59.9</v>
      </c>
      <c r="S62" s="12">
        <v>9</v>
      </c>
      <c r="T62" s="12">
        <v>143</v>
      </c>
      <c r="U62" s="12">
        <v>1</v>
      </c>
      <c r="V62" s="12">
        <v>65.7</v>
      </c>
      <c r="W62" s="12">
        <v>3</v>
      </c>
      <c r="X62" s="131">
        <f t="shared" si="2"/>
        <v>56</v>
      </c>
    </row>
    <row r="63" spans="1:24" s="4" customFormat="1" ht="12.75" x14ac:dyDescent="0.2">
      <c r="A63" s="12">
        <v>15</v>
      </c>
      <c r="B63" s="11" t="s">
        <v>110</v>
      </c>
      <c r="C63" s="12">
        <v>1.86</v>
      </c>
      <c r="D63" s="16">
        <f>(C63*100)/C49</f>
        <v>53.602305475504323</v>
      </c>
      <c r="E63" s="12">
        <f>1*2</f>
        <v>2</v>
      </c>
      <c r="F63" s="12">
        <v>5</v>
      </c>
      <c r="G63" s="12">
        <v>8</v>
      </c>
      <c r="H63" s="12">
        <v>63</v>
      </c>
      <c r="I63" s="12">
        <v>202</v>
      </c>
      <c r="J63" s="12">
        <v>740</v>
      </c>
      <c r="K63" s="12">
        <v>5</v>
      </c>
      <c r="L63" s="12">
        <v>15.4</v>
      </c>
      <c r="M63" s="12">
        <v>8</v>
      </c>
      <c r="N63" s="12">
        <v>39.4</v>
      </c>
      <c r="O63" s="12">
        <v>5</v>
      </c>
      <c r="P63" s="12">
        <v>31.7</v>
      </c>
      <c r="Q63" s="12">
        <v>9</v>
      </c>
      <c r="R63" s="12">
        <v>64.2</v>
      </c>
      <c r="S63" s="12">
        <v>9</v>
      </c>
      <c r="T63" s="12">
        <v>126</v>
      </c>
      <c r="U63" s="12">
        <v>1</v>
      </c>
      <c r="V63" s="12">
        <v>64.2</v>
      </c>
      <c r="W63" s="12">
        <v>1</v>
      </c>
      <c r="X63" s="131">
        <f t="shared" si="2"/>
        <v>45</v>
      </c>
    </row>
    <row r="64" spans="1:24" s="4" customFormat="1" ht="12.75" x14ac:dyDescent="0.2">
      <c r="A64" s="12">
        <v>16</v>
      </c>
      <c r="B64" s="11" t="s">
        <v>111</v>
      </c>
      <c r="C64" s="14">
        <v>4.2</v>
      </c>
      <c r="D64" s="16">
        <f>(C64*100)/C49</f>
        <v>121.03746397694525</v>
      </c>
      <c r="E64" s="12">
        <f>7*2</f>
        <v>14</v>
      </c>
      <c r="F64" s="12">
        <v>8</v>
      </c>
      <c r="G64" s="12">
        <v>9</v>
      </c>
      <c r="H64" s="12">
        <v>61</v>
      </c>
      <c r="I64" s="12">
        <v>198</v>
      </c>
      <c r="J64" s="12">
        <v>714</v>
      </c>
      <c r="K64" s="12">
        <v>3</v>
      </c>
      <c r="L64" s="12">
        <v>13.7</v>
      </c>
      <c r="M64" s="12">
        <v>7</v>
      </c>
      <c r="N64" s="12">
        <v>36.799999999999997</v>
      </c>
      <c r="O64" s="12">
        <v>4</v>
      </c>
      <c r="P64" s="12">
        <v>25.3</v>
      </c>
      <c r="Q64" s="12">
        <v>8</v>
      </c>
      <c r="R64" s="12">
        <v>52.4</v>
      </c>
      <c r="S64" s="12">
        <v>8</v>
      </c>
      <c r="T64" s="12">
        <v>62</v>
      </c>
      <c r="U64" s="12">
        <v>1</v>
      </c>
      <c r="V64" s="12">
        <v>66.3</v>
      </c>
      <c r="W64" s="12">
        <v>3</v>
      </c>
      <c r="X64" s="131">
        <f t="shared" si="2"/>
        <v>56</v>
      </c>
    </row>
    <row r="65" spans="1:24" s="4" customFormat="1" ht="12.75" x14ac:dyDescent="0.2">
      <c r="A65" s="12">
        <v>17</v>
      </c>
      <c r="B65" s="11" t="s">
        <v>112</v>
      </c>
      <c r="C65" s="14">
        <v>4.5</v>
      </c>
      <c r="D65" s="16">
        <f>(C65*100)/C49</f>
        <v>129.68299711815564</v>
      </c>
      <c r="E65" s="12">
        <f>8*2</f>
        <v>16</v>
      </c>
      <c r="F65" s="12">
        <v>8</v>
      </c>
      <c r="G65" s="12">
        <v>9</v>
      </c>
      <c r="H65" s="12">
        <v>75</v>
      </c>
      <c r="I65" s="12">
        <v>200</v>
      </c>
      <c r="J65" s="12">
        <v>760</v>
      </c>
      <c r="K65" s="12">
        <v>6</v>
      </c>
      <c r="L65" s="12">
        <v>15.1</v>
      </c>
      <c r="M65" s="12">
        <v>8</v>
      </c>
      <c r="N65" s="17">
        <v>44</v>
      </c>
      <c r="O65" s="12">
        <v>6</v>
      </c>
      <c r="P65" s="12">
        <v>29.1</v>
      </c>
      <c r="Q65" s="12">
        <v>9</v>
      </c>
      <c r="R65" s="12">
        <v>61.7</v>
      </c>
      <c r="S65" s="12">
        <v>9</v>
      </c>
      <c r="T65" s="12">
        <v>114</v>
      </c>
      <c r="U65" s="12">
        <v>1</v>
      </c>
      <c r="V65" s="12">
        <v>65.400000000000006</v>
      </c>
      <c r="W65" s="12">
        <v>2</v>
      </c>
      <c r="X65" s="131">
        <f t="shared" si="2"/>
        <v>65</v>
      </c>
    </row>
    <row r="66" spans="1:24" s="4" customFormat="1" ht="12.75" x14ac:dyDescent="0.2">
      <c r="A66" s="12">
        <v>18</v>
      </c>
      <c r="B66" s="11" t="s">
        <v>113</v>
      </c>
      <c r="C66" s="12">
        <v>3.39</v>
      </c>
      <c r="D66" s="16">
        <f>(C66*100)/C49</f>
        <v>97.694524495677243</v>
      </c>
      <c r="E66" s="12">
        <f>5*2</f>
        <v>10</v>
      </c>
      <c r="F66" s="12">
        <v>7</v>
      </c>
      <c r="G66" s="12">
        <v>9</v>
      </c>
      <c r="H66" s="12">
        <v>66</v>
      </c>
      <c r="I66" s="12">
        <v>200</v>
      </c>
      <c r="J66" s="12">
        <v>756</v>
      </c>
      <c r="K66" s="12">
        <v>6</v>
      </c>
      <c r="L66" s="12">
        <v>14.7</v>
      </c>
      <c r="M66" s="12">
        <v>8</v>
      </c>
      <c r="N66" s="12">
        <v>40.799999999999997</v>
      </c>
      <c r="O66" s="12">
        <v>5</v>
      </c>
      <c r="P66" s="12">
        <v>27.1</v>
      </c>
      <c r="Q66" s="12">
        <v>8</v>
      </c>
      <c r="R66" s="12">
        <v>61.2</v>
      </c>
      <c r="S66" s="12">
        <v>9</v>
      </c>
      <c r="T66" s="12">
        <v>151</v>
      </c>
      <c r="U66" s="12">
        <v>1</v>
      </c>
      <c r="V66" s="12">
        <v>64.599999999999994</v>
      </c>
      <c r="W66" s="12">
        <v>1</v>
      </c>
      <c r="X66" s="131">
        <f t="shared" si="2"/>
        <v>55</v>
      </c>
    </row>
    <row r="67" spans="1:24" s="4" customFormat="1" ht="12.75" x14ac:dyDescent="0.2">
      <c r="A67" s="12">
        <v>19</v>
      </c>
      <c r="B67" s="11" t="s">
        <v>114</v>
      </c>
      <c r="C67" s="12">
        <v>3.01</v>
      </c>
      <c r="D67" s="16">
        <f>(C67*100)/C49</f>
        <v>86.743515850144092</v>
      </c>
      <c r="E67" s="12">
        <f>4*2</f>
        <v>8</v>
      </c>
      <c r="F67" s="12">
        <v>6</v>
      </c>
      <c r="G67" s="12">
        <v>9</v>
      </c>
      <c r="H67" s="12">
        <v>65</v>
      </c>
      <c r="I67" s="12">
        <v>205</v>
      </c>
      <c r="J67" s="12">
        <v>711</v>
      </c>
      <c r="K67" s="12">
        <v>3</v>
      </c>
      <c r="L67" s="12">
        <v>13.4</v>
      </c>
      <c r="M67" s="12">
        <v>7</v>
      </c>
      <c r="N67" s="12">
        <v>39.200000000000003</v>
      </c>
      <c r="O67" s="12">
        <v>5</v>
      </c>
      <c r="P67" s="12">
        <v>22.4</v>
      </c>
      <c r="Q67" s="12">
        <v>5</v>
      </c>
      <c r="R67" s="12">
        <v>43.6</v>
      </c>
      <c r="S67" s="12">
        <v>7</v>
      </c>
      <c r="T67" s="12">
        <v>122</v>
      </c>
      <c r="U67" s="12">
        <v>1</v>
      </c>
      <c r="V67" s="12">
        <v>65.8</v>
      </c>
      <c r="W67" s="12">
        <v>3</v>
      </c>
      <c r="X67" s="131">
        <f t="shared" si="2"/>
        <v>45</v>
      </c>
    </row>
    <row r="68" spans="1:24" s="4" customFormat="1" ht="12.75" x14ac:dyDescent="0.2">
      <c r="A68" s="5" t="s">
        <v>29</v>
      </c>
      <c r="X68" s="145"/>
    </row>
    <row r="69" spans="1:24" s="4" customFormat="1" ht="12.75" x14ac:dyDescent="0.2">
      <c r="A69" s="12">
        <v>1</v>
      </c>
      <c r="B69" s="11" t="s">
        <v>96</v>
      </c>
      <c r="C69" s="14">
        <f>(C9+C29+C49)/3</f>
        <v>6.0149999999999997</v>
      </c>
      <c r="D69" s="12">
        <v>100</v>
      </c>
      <c r="E69" s="12">
        <f>5*2</f>
        <v>10</v>
      </c>
      <c r="F69" s="17">
        <f>(F9+F29+F49)/3</f>
        <v>7.5</v>
      </c>
      <c r="G69" s="16">
        <f>(G9+G29+G49)/3</f>
        <v>8.6666666666666661</v>
      </c>
      <c r="H69" s="16">
        <f>(H9+H29+H49)/3</f>
        <v>76.833333333333329</v>
      </c>
      <c r="I69" s="16">
        <f>(I9+I29+I49)/3</f>
        <v>207</v>
      </c>
      <c r="J69" s="16">
        <f>(J9+J29+J49)/3</f>
        <v>799.5</v>
      </c>
      <c r="K69" s="12">
        <v>9</v>
      </c>
      <c r="L69" s="17">
        <f>(L9+L29+L49)/3</f>
        <v>14.033333333333333</v>
      </c>
      <c r="M69" s="12">
        <v>7</v>
      </c>
      <c r="N69" s="17">
        <f>(N9+N29+N49)/3</f>
        <v>41.133333333333333</v>
      </c>
      <c r="O69" s="12">
        <v>5</v>
      </c>
      <c r="P69" s="17">
        <f>(P9+P29+P49)/3</f>
        <v>29.566666666666663</v>
      </c>
      <c r="Q69" s="12">
        <v>9</v>
      </c>
      <c r="R69" s="17">
        <f>(R9+R29+R49)/3</f>
        <v>57.683333333333337</v>
      </c>
      <c r="S69" s="12">
        <v>9</v>
      </c>
      <c r="T69" s="17">
        <f>(T9+T29+T49)/3</f>
        <v>233.83333333333334</v>
      </c>
      <c r="U69" s="12">
        <v>7</v>
      </c>
      <c r="V69" s="17">
        <f>(V9+V29+V49)/3</f>
        <v>66.433333333333337</v>
      </c>
      <c r="W69" s="12">
        <v>4</v>
      </c>
      <c r="X69" s="131">
        <f>E69+F69+K69+M69+O69+Q69+S69+U69+W69</f>
        <v>67.5</v>
      </c>
    </row>
    <row r="70" spans="1:24" s="4" customFormat="1" ht="12.75" x14ac:dyDescent="0.2">
      <c r="A70" s="12">
        <v>2</v>
      </c>
      <c r="B70" s="11" t="s">
        <v>97</v>
      </c>
      <c r="C70" s="14">
        <f t="shared" ref="C70:C87" si="3">(C10+C30+C50)/3</f>
        <v>5.68</v>
      </c>
      <c r="D70" s="16">
        <f>(C70*100)/C69</f>
        <v>94.430590191188699</v>
      </c>
      <c r="E70" s="12">
        <f>4*2</f>
        <v>8</v>
      </c>
      <c r="F70" s="17">
        <f t="shared" ref="F70:J87" si="4">(F10+F30+F50)/3</f>
        <v>8.3333333333333339</v>
      </c>
      <c r="G70" s="16">
        <f t="shared" si="4"/>
        <v>8.6666666666666661</v>
      </c>
      <c r="H70" s="16">
        <f t="shared" si="4"/>
        <v>80.333333333333329</v>
      </c>
      <c r="I70" s="16">
        <f t="shared" si="4"/>
        <v>203.33333333333334</v>
      </c>
      <c r="J70" s="16">
        <f t="shared" si="4"/>
        <v>759</v>
      </c>
      <c r="K70" s="12">
        <v>6</v>
      </c>
      <c r="L70" s="17">
        <f t="shared" ref="L70:L87" si="5">(L10+L30+L50)/3</f>
        <v>14.966666666666667</v>
      </c>
      <c r="M70" s="12">
        <v>8</v>
      </c>
      <c r="N70" s="17">
        <f t="shared" ref="N70:N87" si="6">(N10+N30+N50)/3</f>
        <v>43.666666666666664</v>
      </c>
      <c r="O70" s="12">
        <v>6</v>
      </c>
      <c r="P70" s="17">
        <f t="shared" ref="P70:P87" si="7">(P10+P30+P50)/3</f>
        <v>29.900000000000002</v>
      </c>
      <c r="Q70" s="12">
        <v>9</v>
      </c>
      <c r="R70" s="17">
        <f t="shared" ref="R70:R87" si="8">(R10+R30+R50)/3</f>
        <v>59.20000000000001</v>
      </c>
      <c r="S70" s="12">
        <v>9</v>
      </c>
      <c r="T70" s="17">
        <f t="shared" ref="T70:T87" si="9">(T10+T30+T50)/3</f>
        <v>235.33333333333334</v>
      </c>
      <c r="U70" s="12">
        <v>7</v>
      </c>
      <c r="V70" s="17">
        <f t="shared" ref="V70:V87" si="10">(V10+V30+V50)/3</f>
        <v>66.100000000000009</v>
      </c>
      <c r="W70" s="12">
        <v>3</v>
      </c>
      <c r="X70" s="131">
        <f t="shared" ref="X70:X87" si="11">E70+F70+K70+M70+O70+Q70+S70+U70+W70</f>
        <v>64.333333333333343</v>
      </c>
    </row>
    <row r="71" spans="1:24" s="4" customFormat="1" ht="12.75" x14ac:dyDescent="0.2">
      <c r="A71" s="12">
        <v>3</v>
      </c>
      <c r="B71" s="11" t="s">
        <v>98</v>
      </c>
      <c r="C71" s="14">
        <f t="shared" si="3"/>
        <v>5.5633333333333335</v>
      </c>
      <c r="D71" s="16">
        <f>(C71*100)/C69</f>
        <v>92.490994735383779</v>
      </c>
      <c r="E71" s="12">
        <f>4*2</f>
        <v>8</v>
      </c>
      <c r="F71" s="17">
        <f t="shared" si="4"/>
        <v>7.333333333333333</v>
      </c>
      <c r="G71" s="16">
        <f t="shared" si="4"/>
        <v>9</v>
      </c>
      <c r="H71" s="16">
        <f t="shared" si="4"/>
        <v>68.666666666666671</v>
      </c>
      <c r="I71" s="16">
        <f t="shared" si="4"/>
        <v>205.33333333333334</v>
      </c>
      <c r="J71" s="16">
        <f t="shared" si="4"/>
        <v>770.66666666666663</v>
      </c>
      <c r="K71" s="12">
        <v>7</v>
      </c>
      <c r="L71" s="17">
        <f t="shared" si="5"/>
        <v>14.4</v>
      </c>
      <c r="M71" s="12">
        <v>8</v>
      </c>
      <c r="N71" s="17">
        <f t="shared" si="6"/>
        <v>43.766666666666673</v>
      </c>
      <c r="O71" s="12">
        <v>6</v>
      </c>
      <c r="P71" s="17">
        <f t="shared" si="7"/>
        <v>29.200000000000003</v>
      </c>
      <c r="Q71" s="12">
        <v>9</v>
      </c>
      <c r="R71" s="17">
        <f t="shared" si="8"/>
        <v>55.5</v>
      </c>
      <c r="S71" s="12">
        <v>8</v>
      </c>
      <c r="T71" s="17">
        <f t="shared" si="9"/>
        <v>230.33333333333334</v>
      </c>
      <c r="U71" s="12">
        <v>7</v>
      </c>
      <c r="V71" s="17">
        <f t="shared" si="10"/>
        <v>66.833333333333329</v>
      </c>
      <c r="W71" s="12">
        <v>4</v>
      </c>
      <c r="X71" s="131">
        <f t="shared" si="11"/>
        <v>64.333333333333329</v>
      </c>
    </row>
    <row r="72" spans="1:24" s="4" customFormat="1" ht="12.75" x14ac:dyDescent="0.2">
      <c r="A72" s="12">
        <v>4</v>
      </c>
      <c r="B72" s="11" t="s">
        <v>99</v>
      </c>
      <c r="C72" s="14">
        <f t="shared" si="3"/>
        <v>4.666666666666667</v>
      </c>
      <c r="D72" s="16">
        <f>(C72*100)/C69</f>
        <v>77.583818232197288</v>
      </c>
      <c r="E72" s="12">
        <f>3*2</f>
        <v>6</v>
      </c>
      <c r="F72" s="17">
        <f t="shared" si="4"/>
        <v>7.666666666666667</v>
      </c>
      <c r="G72" s="16">
        <f t="shared" si="4"/>
        <v>9</v>
      </c>
      <c r="H72" s="16">
        <f t="shared" si="4"/>
        <v>63</v>
      </c>
      <c r="I72" s="16">
        <f t="shared" si="4"/>
        <v>201.66666666666666</v>
      </c>
      <c r="J72" s="16">
        <f t="shared" si="4"/>
        <v>770</v>
      </c>
      <c r="K72" s="12">
        <v>6</v>
      </c>
      <c r="L72" s="17">
        <f t="shared" si="5"/>
        <v>15.333333333333334</v>
      </c>
      <c r="M72" s="12">
        <v>8</v>
      </c>
      <c r="N72" s="17">
        <f t="shared" si="6"/>
        <v>48.033333333333331</v>
      </c>
      <c r="O72" s="12">
        <v>7</v>
      </c>
      <c r="P72" s="17">
        <f t="shared" si="7"/>
        <v>30.633333333333336</v>
      </c>
      <c r="Q72" s="12">
        <v>9</v>
      </c>
      <c r="R72" s="17">
        <f t="shared" si="8"/>
        <v>60.466666666666669</v>
      </c>
      <c r="S72" s="12">
        <v>9</v>
      </c>
      <c r="T72" s="17">
        <f t="shared" si="9"/>
        <v>247.33333333333334</v>
      </c>
      <c r="U72" s="12">
        <v>7</v>
      </c>
      <c r="V72" s="17">
        <f t="shared" si="10"/>
        <v>64.86666666666666</v>
      </c>
      <c r="W72" s="12">
        <v>1</v>
      </c>
      <c r="X72" s="131">
        <f t="shared" si="11"/>
        <v>60.666666666666671</v>
      </c>
    </row>
    <row r="73" spans="1:24" s="4" customFormat="1" ht="12.75" x14ac:dyDescent="0.2">
      <c r="A73" s="12">
        <v>5</v>
      </c>
      <c r="B73" s="11" t="s">
        <v>100</v>
      </c>
      <c r="C73" s="14">
        <f t="shared" si="3"/>
        <v>5.5466666666666669</v>
      </c>
      <c r="D73" s="16">
        <f>(C73*100)/C69</f>
        <v>92.213909670268791</v>
      </c>
      <c r="E73" s="12">
        <f>4*2</f>
        <v>8</v>
      </c>
      <c r="F73" s="17">
        <f t="shared" si="4"/>
        <v>6.666666666666667</v>
      </c>
      <c r="G73" s="16">
        <f t="shared" si="4"/>
        <v>9</v>
      </c>
      <c r="H73" s="16">
        <f t="shared" si="4"/>
        <v>69.333333333333329</v>
      </c>
      <c r="I73" s="16">
        <f t="shared" si="4"/>
        <v>204</v>
      </c>
      <c r="J73" s="16">
        <f t="shared" si="4"/>
        <v>774</v>
      </c>
      <c r="K73" s="12">
        <v>7</v>
      </c>
      <c r="L73" s="17">
        <f t="shared" si="5"/>
        <v>13.366666666666667</v>
      </c>
      <c r="M73" s="12">
        <v>7</v>
      </c>
      <c r="N73" s="17">
        <f t="shared" si="6"/>
        <v>41.5</v>
      </c>
      <c r="O73" s="12">
        <v>5</v>
      </c>
      <c r="P73" s="17">
        <f t="shared" si="7"/>
        <v>29.733333333333334</v>
      </c>
      <c r="Q73" s="12">
        <v>9</v>
      </c>
      <c r="R73" s="17">
        <f t="shared" si="8"/>
        <v>52.1</v>
      </c>
      <c r="S73" s="12">
        <v>8</v>
      </c>
      <c r="T73" s="17">
        <f t="shared" si="9"/>
        <v>248</v>
      </c>
      <c r="U73" s="12">
        <v>7</v>
      </c>
      <c r="V73" s="17">
        <f t="shared" si="10"/>
        <v>67.2</v>
      </c>
      <c r="W73" s="12">
        <v>5</v>
      </c>
      <c r="X73" s="131">
        <f t="shared" si="11"/>
        <v>62.666666666666671</v>
      </c>
    </row>
    <row r="74" spans="1:24" s="4" customFormat="1" ht="12.75" x14ac:dyDescent="0.2">
      <c r="A74" s="12">
        <v>6</v>
      </c>
      <c r="B74" s="11" t="s">
        <v>101</v>
      </c>
      <c r="C74" s="14">
        <f t="shared" si="3"/>
        <v>6.0633333333333335</v>
      </c>
      <c r="D74" s="16">
        <f>(C74*100)/C69</f>
        <v>100.80354668883348</v>
      </c>
      <c r="E74" s="12">
        <f>5*2</f>
        <v>10</v>
      </c>
      <c r="F74" s="17">
        <f t="shared" si="4"/>
        <v>8</v>
      </c>
      <c r="G74" s="16">
        <f t="shared" si="4"/>
        <v>9</v>
      </c>
      <c r="H74" s="16">
        <f t="shared" si="4"/>
        <v>64.333333333333329</v>
      </c>
      <c r="I74" s="16">
        <f t="shared" si="4"/>
        <v>204</v>
      </c>
      <c r="J74" s="16">
        <f t="shared" si="4"/>
        <v>776.66666666666663</v>
      </c>
      <c r="K74" s="12">
        <v>7</v>
      </c>
      <c r="L74" s="17">
        <f t="shared" si="5"/>
        <v>13.333333333333334</v>
      </c>
      <c r="M74" s="12">
        <v>7</v>
      </c>
      <c r="N74" s="17">
        <f t="shared" si="6"/>
        <v>44.666666666666664</v>
      </c>
      <c r="O74" s="12">
        <v>6</v>
      </c>
      <c r="P74" s="17">
        <f t="shared" si="7"/>
        <v>25.7</v>
      </c>
      <c r="Q74" s="12">
        <v>8</v>
      </c>
      <c r="R74" s="17">
        <f t="shared" si="8"/>
        <v>48.133333333333326</v>
      </c>
      <c r="S74" s="12">
        <v>8</v>
      </c>
      <c r="T74" s="17">
        <f t="shared" si="9"/>
        <v>253.33333333333334</v>
      </c>
      <c r="U74" s="12">
        <v>9</v>
      </c>
      <c r="V74" s="17">
        <f t="shared" si="10"/>
        <v>66.8</v>
      </c>
      <c r="W74" s="12">
        <v>7</v>
      </c>
      <c r="X74" s="131">
        <f t="shared" si="11"/>
        <v>70</v>
      </c>
    </row>
    <row r="75" spans="1:24" s="4" customFormat="1" ht="12.75" x14ac:dyDescent="0.2">
      <c r="A75" s="12">
        <v>7</v>
      </c>
      <c r="B75" s="11" t="s">
        <v>102</v>
      </c>
      <c r="C75" s="14">
        <f t="shared" si="3"/>
        <v>5.5233333333333334</v>
      </c>
      <c r="D75" s="16">
        <f>(C75*100)/C69</f>
        <v>91.825990579107795</v>
      </c>
      <c r="E75" s="12">
        <f>4*2</f>
        <v>8</v>
      </c>
      <c r="F75" s="17">
        <f t="shared" si="4"/>
        <v>7.333333333333333</v>
      </c>
      <c r="G75" s="16">
        <f t="shared" si="4"/>
        <v>8.6666666666666661</v>
      </c>
      <c r="H75" s="16">
        <f t="shared" si="4"/>
        <v>79</v>
      </c>
      <c r="I75" s="16">
        <f t="shared" si="4"/>
        <v>204.66666666666666</v>
      </c>
      <c r="J75" s="16">
        <f t="shared" si="4"/>
        <v>790.66666666666663</v>
      </c>
      <c r="K75" s="12">
        <v>8</v>
      </c>
      <c r="L75" s="17">
        <f t="shared" si="5"/>
        <v>14.200000000000001</v>
      </c>
      <c r="M75" s="12">
        <v>8</v>
      </c>
      <c r="N75" s="17">
        <f t="shared" si="6"/>
        <v>46.6</v>
      </c>
      <c r="O75" s="12">
        <v>6</v>
      </c>
      <c r="P75" s="17">
        <f t="shared" si="7"/>
        <v>29.033333333333331</v>
      </c>
      <c r="Q75" s="12">
        <v>8</v>
      </c>
      <c r="R75" s="17">
        <f t="shared" si="8"/>
        <v>58.333333333333336</v>
      </c>
      <c r="S75" s="12">
        <v>9</v>
      </c>
      <c r="T75" s="17">
        <f t="shared" si="9"/>
        <v>179</v>
      </c>
      <c r="U75" s="12">
        <v>1</v>
      </c>
      <c r="V75" s="17">
        <f t="shared" si="10"/>
        <v>66.966666666666669</v>
      </c>
      <c r="W75" s="12">
        <v>4</v>
      </c>
      <c r="X75" s="131">
        <f t="shared" si="11"/>
        <v>59.333333333333329</v>
      </c>
    </row>
    <row r="76" spans="1:24" s="4" customFormat="1" ht="12.75" customHeight="1" x14ac:dyDescent="0.2">
      <c r="A76" s="12">
        <v>8</v>
      </c>
      <c r="B76" s="11" t="s">
        <v>103</v>
      </c>
      <c r="C76" s="14">
        <f t="shared" si="3"/>
        <v>6.206666666666667</v>
      </c>
      <c r="D76" s="16">
        <f>(C76*100)/C69</f>
        <v>103.18647824882241</v>
      </c>
      <c r="E76" s="12">
        <f>5*2</f>
        <v>10</v>
      </c>
      <c r="F76" s="17">
        <f t="shared" si="4"/>
        <v>6.666666666666667</v>
      </c>
      <c r="G76" s="16">
        <f t="shared" si="4"/>
        <v>8.3333333333333339</v>
      </c>
      <c r="H76" s="16">
        <f t="shared" si="4"/>
        <v>69.666666666666671</v>
      </c>
      <c r="I76" s="16">
        <f t="shared" si="4"/>
        <v>208.33333333333334</v>
      </c>
      <c r="J76" s="16">
        <f t="shared" si="4"/>
        <v>749.33333333333337</v>
      </c>
      <c r="K76" s="12">
        <v>5</v>
      </c>
      <c r="L76" s="17">
        <f t="shared" si="5"/>
        <v>13.466666666666669</v>
      </c>
      <c r="M76" s="12">
        <v>7</v>
      </c>
      <c r="N76" s="17">
        <f t="shared" si="6"/>
        <v>39.733333333333334</v>
      </c>
      <c r="O76" s="12">
        <v>5</v>
      </c>
      <c r="P76" s="17">
        <f t="shared" si="7"/>
        <v>26.766666666666666</v>
      </c>
      <c r="Q76" s="12">
        <v>8</v>
      </c>
      <c r="R76" s="17">
        <f t="shared" si="8"/>
        <v>49.533333333333339</v>
      </c>
      <c r="S76" s="12">
        <v>8</v>
      </c>
      <c r="T76" s="17">
        <f t="shared" si="9"/>
        <v>245.66666666666666</v>
      </c>
      <c r="U76" s="12">
        <v>7</v>
      </c>
      <c r="V76" s="17">
        <f t="shared" si="10"/>
        <v>65.866666666666674</v>
      </c>
      <c r="W76" s="12">
        <v>3</v>
      </c>
      <c r="X76" s="131">
        <f t="shared" si="11"/>
        <v>59.666666666666671</v>
      </c>
    </row>
    <row r="77" spans="1:24" s="4" customFormat="1" ht="12.75" x14ac:dyDescent="0.2">
      <c r="A77" s="12">
        <v>9</v>
      </c>
      <c r="B77" s="11" t="s">
        <v>104</v>
      </c>
      <c r="C77" s="14">
        <f t="shared" si="3"/>
        <v>5.8</v>
      </c>
      <c r="D77" s="16">
        <f>(C77*100)/C69</f>
        <v>96.425602660016636</v>
      </c>
      <c r="E77" s="12">
        <f>5*2</f>
        <v>10</v>
      </c>
      <c r="F77" s="17">
        <f t="shared" si="4"/>
        <v>7</v>
      </c>
      <c r="G77" s="16">
        <f t="shared" si="4"/>
        <v>9</v>
      </c>
      <c r="H77" s="16">
        <f t="shared" si="4"/>
        <v>72.333333333333329</v>
      </c>
      <c r="I77" s="16">
        <f t="shared" si="4"/>
        <v>204.66666666666666</v>
      </c>
      <c r="J77" s="16">
        <f t="shared" si="4"/>
        <v>776.66666666666663</v>
      </c>
      <c r="K77" s="12">
        <v>7</v>
      </c>
      <c r="L77" s="17">
        <f t="shared" si="5"/>
        <v>12.299999999999999</v>
      </c>
      <c r="M77" s="12">
        <v>6</v>
      </c>
      <c r="N77" s="17">
        <f t="shared" si="6"/>
        <v>43.966666666666661</v>
      </c>
      <c r="O77" s="12">
        <v>6</v>
      </c>
      <c r="P77" s="17">
        <f t="shared" si="7"/>
        <v>23.7</v>
      </c>
      <c r="Q77" s="12">
        <v>7</v>
      </c>
      <c r="R77" s="17">
        <f t="shared" si="8"/>
        <v>41.166666666666664</v>
      </c>
      <c r="S77" s="12">
        <v>7</v>
      </c>
      <c r="T77" s="17">
        <f t="shared" si="9"/>
        <v>274</v>
      </c>
      <c r="U77" s="12">
        <v>9</v>
      </c>
      <c r="V77" s="17">
        <f t="shared" si="10"/>
        <v>68.266666666666666</v>
      </c>
      <c r="W77" s="12">
        <v>6</v>
      </c>
      <c r="X77" s="131">
        <f t="shared" si="11"/>
        <v>65</v>
      </c>
    </row>
    <row r="78" spans="1:24" s="4" customFormat="1" ht="12.75" x14ac:dyDescent="0.2">
      <c r="A78" s="12">
        <v>10</v>
      </c>
      <c r="B78" s="11" t="s">
        <v>105</v>
      </c>
      <c r="C78" s="14">
        <f t="shared" si="3"/>
        <v>6.63</v>
      </c>
      <c r="D78" s="16">
        <f>(C78*100)/C69</f>
        <v>110.22443890274315</v>
      </c>
      <c r="E78" s="12">
        <f>6*2</f>
        <v>12</v>
      </c>
      <c r="F78" s="17">
        <f t="shared" si="4"/>
        <v>8.3333333333333339</v>
      </c>
      <c r="G78" s="16">
        <f t="shared" si="4"/>
        <v>9</v>
      </c>
      <c r="H78" s="16">
        <f t="shared" si="4"/>
        <v>72</v>
      </c>
      <c r="I78" s="16">
        <f t="shared" si="4"/>
        <v>204</v>
      </c>
      <c r="J78" s="16">
        <f t="shared" si="4"/>
        <v>758</v>
      </c>
      <c r="K78" s="12">
        <v>6</v>
      </c>
      <c r="L78" s="17">
        <f t="shared" si="5"/>
        <v>13.733333333333334</v>
      </c>
      <c r="M78" s="12">
        <v>7</v>
      </c>
      <c r="N78" s="17">
        <f t="shared" si="6"/>
        <v>48.766666666666673</v>
      </c>
      <c r="O78" s="12">
        <v>7</v>
      </c>
      <c r="P78" s="17">
        <f t="shared" si="7"/>
        <v>26.5</v>
      </c>
      <c r="Q78" s="12">
        <v>8</v>
      </c>
      <c r="R78" s="17">
        <f t="shared" si="8"/>
        <v>51.800000000000004</v>
      </c>
      <c r="S78" s="12">
        <v>8</v>
      </c>
      <c r="T78" s="17">
        <f t="shared" si="9"/>
        <v>237.66666666666666</v>
      </c>
      <c r="U78" s="12">
        <v>7</v>
      </c>
      <c r="V78" s="17">
        <f t="shared" si="10"/>
        <v>66.533333333333331</v>
      </c>
      <c r="W78" s="12">
        <v>4</v>
      </c>
      <c r="X78" s="131">
        <f t="shared" si="11"/>
        <v>67.333333333333343</v>
      </c>
    </row>
    <row r="79" spans="1:24" s="4" customFormat="1" ht="12.75" x14ac:dyDescent="0.2">
      <c r="A79" s="12">
        <v>11</v>
      </c>
      <c r="B79" s="11" t="s">
        <v>106</v>
      </c>
      <c r="C79" s="14">
        <f t="shared" si="3"/>
        <v>6.2366666666666672</v>
      </c>
      <c r="D79" s="16">
        <f>(C79*100)/C69</f>
        <v>103.68523136602938</v>
      </c>
      <c r="E79" s="12">
        <f>5*2</f>
        <v>10</v>
      </c>
      <c r="F79" s="17">
        <f t="shared" si="4"/>
        <v>7.666666666666667</v>
      </c>
      <c r="G79" s="16">
        <f t="shared" si="4"/>
        <v>8.6666666666666661</v>
      </c>
      <c r="H79" s="16">
        <f t="shared" si="4"/>
        <v>73.666666666666671</v>
      </c>
      <c r="I79" s="16">
        <f t="shared" si="4"/>
        <v>203.66666666666666</v>
      </c>
      <c r="J79" s="16">
        <f t="shared" si="4"/>
        <v>785.33333333333337</v>
      </c>
      <c r="K79" s="12">
        <v>7</v>
      </c>
      <c r="L79" s="17">
        <f t="shared" si="5"/>
        <v>13.033333333333331</v>
      </c>
      <c r="M79" s="12">
        <v>6</v>
      </c>
      <c r="N79" s="17">
        <f t="shared" si="6"/>
        <v>46.966666666666669</v>
      </c>
      <c r="O79" s="12">
        <v>7</v>
      </c>
      <c r="P79" s="17">
        <f t="shared" si="7"/>
        <v>26.033333333333331</v>
      </c>
      <c r="Q79" s="12">
        <v>8</v>
      </c>
      <c r="R79" s="17">
        <f t="shared" si="8"/>
        <v>46.70000000000001</v>
      </c>
      <c r="S79" s="12">
        <v>8</v>
      </c>
      <c r="T79" s="17">
        <f t="shared" si="9"/>
        <v>288.33333333333331</v>
      </c>
      <c r="U79" s="12">
        <v>9</v>
      </c>
      <c r="V79" s="17">
        <f t="shared" si="10"/>
        <v>67.733333333333334</v>
      </c>
      <c r="W79" s="12">
        <v>5</v>
      </c>
      <c r="X79" s="131">
        <f t="shared" si="11"/>
        <v>67.666666666666671</v>
      </c>
    </row>
    <row r="80" spans="1:24" s="4" customFormat="1" ht="12.75" x14ac:dyDescent="0.2">
      <c r="A80" s="12">
        <v>12</v>
      </c>
      <c r="B80" s="11" t="s">
        <v>107</v>
      </c>
      <c r="C80" s="14">
        <f t="shared" si="3"/>
        <v>3.9466666666666668</v>
      </c>
      <c r="D80" s="16">
        <f>(C80*100)/C69</f>
        <v>65.613743419229706</v>
      </c>
      <c r="E80" s="12">
        <f>2*2</f>
        <v>4</v>
      </c>
      <c r="F80" s="17">
        <f t="shared" si="4"/>
        <v>5</v>
      </c>
      <c r="G80" s="16">
        <f t="shared" si="4"/>
        <v>8.6666666666666661</v>
      </c>
      <c r="H80" s="16">
        <f t="shared" si="4"/>
        <v>76.333333333333329</v>
      </c>
      <c r="I80" s="16">
        <f t="shared" si="4"/>
        <v>204.66666666666666</v>
      </c>
      <c r="J80" s="16">
        <f t="shared" si="4"/>
        <v>788.66666666666663</v>
      </c>
      <c r="K80" s="12">
        <v>8</v>
      </c>
      <c r="L80" s="17">
        <f t="shared" si="5"/>
        <v>14.833333333333334</v>
      </c>
      <c r="M80" s="12">
        <v>8</v>
      </c>
      <c r="N80" s="17">
        <f t="shared" si="6"/>
        <v>44.866666666666667</v>
      </c>
      <c r="O80" s="12">
        <v>6</v>
      </c>
      <c r="P80" s="17">
        <f t="shared" si="7"/>
        <v>31.366666666666664</v>
      </c>
      <c r="Q80" s="12">
        <v>9</v>
      </c>
      <c r="R80" s="17">
        <f t="shared" si="8"/>
        <v>57.566666666666663</v>
      </c>
      <c r="S80" s="12">
        <v>9</v>
      </c>
      <c r="T80" s="17">
        <f t="shared" si="9"/>
        <v>280</v>
      </c>
      <c r="U80" s="12">
        <v>9</v>
      </c>
      <c r="V80" s="17">
        <f t="shared" si="10"/>
        <v>66.933333333333337</v>
      </c>
      <c r="W80" s="12">
        <v>4</v>
      </c>
      <c r="X80" s="131">
        <f t="shared" si="11"/>
        <v>62</v>
      </c>
    </row>
    <row r="81" spans="1:24" s="4" customFormat="1" ht="12.75" x14ac:dyDescent="0.2">
      <c r="A81" s="12">
        <v>13</v>
      </c>
      <c r="B81" s="11" t="s">
        <v>108</v>
      </c>
      <c r="C81" s="14">
        <f t="shared" si="3"/>
        <v>5.9533333333333331</v>
      </c>
      <c r="D81" s="16">
        <f>(C81*100)/C69</f>
        <v>98.974785259074523</v>
      </c>
      <c r="E81" s="12">
        <f>5*2</f>
        <v>10</v>
      </c>
      <c r="F81" s="17">
        <f t="shared" si="4"/>
        <v>8.3333333333333339</v>
      </c>
      <c r="G81" s="16">
        <f t="shared" si="4"/>
        <v>8.3333333333333339</v>
      </c>
      <c r="H81" s="16">
        <f t="shared" si="4"/>
        <v>74</v>
      </c>
      <c r="I81" s="16">
        <f t="shared" si="4"/>
        <v>203.33333333333334</v>
      </c>
      <c r="J81" s="16">
        <f t="shared" si="4"/>
        <v>746</v>
      </c>
      <c r="K81" s="12">
        <v>5</v>
      </c>
      <c r="L81" s="17">
        <f t="shared" si="5"/>
        <v>13.299999999999999</v>
      </c>
      <c r="M81" s="12">
        <v>7</v>
      </c>
      <c r="N81" s="17">
        <f t="shared" si="6"/>
        <v>47.6</v>
      </c>
      <c r="O81" s="12">
        <v>7</v>
      </c>
      <c r="P81" s="17">
        <f t="shared" si="7"/>
        <v>25</v>
      </c>
      <c r="Q81" s="12">
        <v>7</v>
      </c>
      <c r="R81" s="17">
        <f t="shared" si="8"/>
        <v>49.6</v>
      </c>
      <c r="S81" s="12">
        <v>8</v>
      </c>
      <c r="T81" s="17">
        <f t="shared" si="9"/>
        <v>259.33333333333331</v>
      </c>
      <c r="U81" s="12">
        <v>7</v>
      </c>
      <c r="V81" s="17">
        <f t="shared" si="10"/>
        <v>66.666666666666671</v>
      </c>
      <c r="W81" s="12">
        <v>4</v>
      </c>
      <c r="X81" s="131">
        <f t="shared" si="11"/>
        <v>63.333333333333336</v>
      </c>
    </row>
    <row r="82" spans="1:24" s="4" customFormat="1" ht="12.75" x14ac:dyDescent="0.2">
      <c r="A82" s="12">
        <v>14</v>
      </c>
      <c r="B82" s="11" t="s">
        <v>109</v>
      </c>
      <c r="C82" s="14">
        <f t="shared" si="3"/>
        <v>6.4899999999999993</v>
      </c>
      <c r="D82" s="16">
        <f>(C82*100)/C69</f>
        <v>107.89692435577722</v>
      </c>
      <c r="E82" s="12">
        <f>6*2</f>
        <v>12</v>
      </c>
      <c r="F82" s="17">
        <f t="shared" si="4"/>
        <v>7.666666666666667</v>
      </c>
      <c r="G82" s="16">
        <f t="shared" si="4"/>
        <v>9</v>
      </c>
      <c r="H82" s="16">
        <f t="shared" si="4"/>
        <v>72.666666666666671</v>
      </c>
      <c r="I82" s="16">
        <f t="shared" si="4"/>
        <v>206</v>
      </c>
      <c r="J82" s="16">
        <f t="shared" si="4"/>
        <v>786.66666666666663</v>
      </c>
      <c r="K82" s="12">
        <v>8</v>
      </c>
      <c r="L82" s="17">
        <f t="shared" si="5"/>
        <v>13.5</v>
      </c>
      <c r="M82" s="12">
        <v>7</v>
      </c>
      <c r="N82" s="17">
        <f t="shared" si="6"/>
        <v>43.366666666666667</v>
      </c>
      <c r="O82" s="12">
        <v>6</v>
      </c>
      <c r="P82" s="17">
        <f t="shared" si="7"/>
        <v>30.133333333333336</v>
      </c>
      <c r="Q82" s="12">
        <v>9</v>
      </c>
      <c r="R82" s="17">
        <f t="shared" si="8"/>
        <v>50.133333333333333</v>
      </c>
      <c r="S82" s="12">
        <v>9</v>
      </c>
      <c r="T82" s="17">
        <f t="shared" si="9"/>
        <v>208.66666666666666</v>
      </c>
      <c r="U82" s="12">
        <v>3</v>
      </c>
      <c r="V82" s="17">
        <f t="shared" si="10"/>
        <v>66.933333333333337</v>
      </c>
      <c r="W82" s="12">
        <v>4</v>
      </c>
      <c r="X82" s="131">
        <f t="shared" si="11"/>
        <v>65.666666666666671</v>
      </c>
    </row>
    <row r="83" spans="1:24" s="4" customFormat="1" ht="12.75" x14ac:dyDescent="0.2">
      <c r="A83" s="12">
        <v>15</v>
      </c>
      <c r="B83" s="11" t="s">
        <v>110</v>
      </c>
      <c r="C83" s="14">
        <f t="shared" si="3"/>
        <v>4.9033333333333333</v>
      </c>
      <c r="D83" s="16">
        <f>(C83*100)/C69</f>
        <v>81.518426156830145</v>
      </c>
      <c r="E83" s="12">
        <f>3*2</f>
        <v>6</v>
      </c>
      <c r="F83" s="17">
        <f t="shared" si="4"/>
        <v>6.666666666666667</v>
      </c>
      <c r="G83" s="16">
        <f t="shared" si="4"/>
        <v>8</v>
      </c>
      <c r="H83" s="16">
        <f t="shared" si="4"/>
        <v>75.666666666666671</v>
      </c>
      <c r="I83" s="16">
        <f t="shared" si="4"/>
        <v>206.66666666666666</v>
      </c>
      <c r="J83" s="16">
        <f t="shared" si="4"/>
        <v>759</v>
      </c>
      <c r="K83" s="12">
        <v>6</v>
      </c>
      <c r="L83" s="17">
        <f t="shared" si="5"/>
        <v>14.299999999999999</v>
      </c>
      <c r="M83" s="12">
        <v>8</v>
      </c>
      <c r="N83" s="17">
        <f t="shared" si="6"/>
        <v>41.833333333333336</v>
      </c>
      <c r="O83" s="12">
        <v>5</v>
      </c>
      <c r="P83" s="17">
        <f t="shared" si="7"/>
        <v>29.7</v>
      </c>
      <c r="Q83" s="12">
        <v>9</v>
      </c>
      <c r="R83" s="17">
        <f t="shared" si="8"/>
        <v>57.833333333333336</v>
      </c>
      <c r="S83" s="12">
        <v>9</v>
      </c>
      <c r="T83" s="17">
        <f t="shared" si="9"/>
        <v>283.66666666666669</v>
      </c>
      <c r="U83" s="12">
        <v>9</v>
      </c>
      <c r="V83" s="17">
        <f t="shared" si="10"/>
        <v>65.666666666666671</v>
      </c>
      <c r="W83" s="12">
        <v>3</v>
      </c>
      <c r="X83" s="131">
        <f t="shared" si="11"/>
        <v>61.666666666666671</v>
      </c>
    </row>
    <row r="84" spans="1:24" s="4" customFormat="1" ht="12.75" x14ac:dyDescent="0.2">
      <c r="A84" s="12">
        <v>16</v>
      </c>
      <c r="B84" s="11" t="s">
        <v>111</v>
      </c>
      <c r="C84" s="14">
        <f t="shared" si="3"/>
        <v>6.4433333333333325</v>
      </c>
      <c r="D84" s="16">
        <f>(C84*100)/C69</f>
        <v>107.12108617345524</v>
      </c>
      <c r="E84" s="12">
        <f>6*2</f>
        <v>12</v>
      </c>
      <c r="F84" s="17">
        <f t="shared" si="4"/>
        <v>7.666666666666667</v>
      </c>
      <c r="G84" s="16">
        <f t="shared" si="4"/>
        <v>9</v>
      </c>
      <c r="H84" s="16">
        <f t="shared" si="4"/>
        <v>73.333333333333329</v>
      </c>
      <c r="I84" s="16">
        <f t="shared" si="4"/>
        <v>203.33333333333334</v>
      </c>
      <c r="J84" s="16">
        <f t="shared" si="4"/>
        <v>739.66666666666663</v>
      </c>
      <c r="K84" s="12">
        <v>5</v>
      </c>
      <c r="L84" s="17">
        <f t="shared" si="5"/>
        <v>13.166666666666666</v>
      </c>
      <c r="M84" s="12">
        <v>7</v>
      </c>
      <c r="N84" s="17">
        <f t="shared" si="6"/>
        <v>40.666666666666664</v>
      </c>
      <c r="O84" s="12">
        <v>5</v>
      </c>
      <c r="P84" s="17">
        <f t="shared" si="7"/>
        <v>25.833333333333332</v>
      </c>
      <c r="Q84" s="12">
        <v>8</v>
      </c>
      <c r="R84" s="17">
        <f t="shared" si="8"/>
        <v>48.366666666666667</v>
      </c>
      <c r="S84" s="12">
        <v>8</v>
      </c>
      <c r="T84" s="17">
        <f t="shared" si="9"/>
        <v>203</v>
      </c>
      <c r="U84" s="12">
        <v>3</v>
      </c>
      <c r="V84" s="17">
        <f t="shared" si="10"/>
        <v>67.033333333333346</v>
      </c>
      <c r="W84" s="12">
        <v>4</v>
      </c>
      <c r="X84" s="131">
        <f t="shared" si="11"/>
        <v>59.666666666666671</v>
      </c>
    </row>
    <row r="85" spans="1:24" s="4" customFormat="1" ht="12.75" x14ac:dyDescent="0.2">
      <c r="A85" s="12">
        <v>17</v>
      </c>
      <c r="B85" s="11" t="s">
        <v>112</v>
      </c>
      <c r="C85" s="14">
        <f t="shared" si="3"/>
        <v>7.083333333333333</v>
      </c>
      <c r="D85" s="16">
        <f>(C85*100)/C69</f>
        <v>117.76115267387087</v>
      </c>
      <c r="E85" s="12">
        <f>7*2</f>
        <v>14</v>
      </c>
      <c r="F85" s="17">
        <f t="shared" si="4"/>
        <v>8.6666666666666661</v>
      </c>
      <c r="G85" s="16">
        <f t="shared" si="4"/>
        <v>8</v>
      </c>
      <c r="H85" s="16">
        <f t="shared" si="4"/>
        <v>78.333333333333329</v>
      </c>
      <c r="I85" s="16">
        <f t="shared" si="4"/>
        <v>206</v>
      </c>
      <c r="J85" s="16">
        <f t="shared" si="4"/>
        <v>773.66666666666663</v>
      </c>
      <c r="K85" s="12">
        <v>7</v>
      </c>
      <c r="L85" s="17">
        <f t="shared" si="5"/>
        <v>14.066666666666668</v>
      </c>
      <c r="M85" s="12">
        <v>8</v>
      </c>
      <c r="N85" s="17">
        <f t="shared" si="6"/>
        <v>46.333333333333336</v>
      </c>
      <c r="O85" s="12">
        <v>6</v>
      </c>
      <c r="P85" s="17">
        <f t="shared" si="7"/>
        <v>28.566666666666663</v>
      </c>
      <c r="Q85" s="12">
        <v>8</v>
      </c>
      <c r="R85" s="17">
        <f t="shared" si="8"/>
        <v>56.5</v>
      </c>
      <c r="S85" s="12">
        <v>9</v>
      </c>
      <c r="T85" s="17">
        <f t="shared" si="9"/>
        <v>275</v>
      </c>
      <c r="U85" s="12">
        <v>9</v>
      </c>
      <c r="V85" s="17">
        <f t="shared" si="10"/>
        <v>66.066666666666677</v>
      </c>
      <c r="W85" s="12">
        <v>3</v>
      </c>
      <c r="X85" s="131">
        <f t="shared" si="11"/>
        <v>72.666666666666657</v>
      </c>
    </row>
    <row r="86" spans="1:24" s="4" customFormat="1" ht="12.75" x14ac:dyDescent="0.2">
      <c r="A86" s="12">
        <v>18</v>
      </c>
      <c r="B86" s="11" t="s">
        <v>113</v>
      </c>
      <c r="C86" s="14">
        <f t="shared" si="3"/>
        <v>6.1133333333333333</v>
      </c>
      <c r="D86" s="16">
        <f>(C86*100)/C69</f>
        <v>101.63480188417846</v>
      </c>
      <c r="E86" s="12">
        <f>5*2</f>
        <v>10</v>
      </c>
      <c r="F86" s="17">
        <f t="shared" si="4"/>
        <v>8</v>
      </c>
      <c r="G86" s="16">
        <f t="shared" si="4"/>
        <v>9</v>
      </c>
      <c r="H86" s="16">
        <f t="shared" si="4"/>
        <v>75.333333333333329</v>
      </c>
      <c r="I86" s="16">
        <f t="shared" si="4"/>
        <v>205</v>
      </c>
      <c r="J86" s="16">
        <f t="shared" si="4"/>
        <v>779</v>
      </c>
      <c r="K86" s="12">
        <v>7</v>
      </c>
      <c r="L86" s="17">
        <f t="shared" si="5"/>
        <v>13.9</v>
      </c>
      <c r="M86" s="12">
        <v>7</v>
      </c>
      <c r="N86" s="17">
        <f t="shared" si="6"/>
        <v>43</v>
      </c>
      <c r="O86" s="12">
        <v>6</v>
      </c>
      <c r="P86" s="17">
        <f t="shared" si="7"/>
        <v>27.866666666666664</v>
      </c>
      <c r="Q86" s="12">
        <v>8</v>
      </c>
      <c r="R86" s="17">
        <f t="shared" si="8"/>
        <v>53.133333333333326</v>
      </c>
      <c r="S86" s="12">
        <v>8</v>
      </c>
      <c r="T86" s="17">
        <f t="shared" si="9"/>
        <v>291.66666666666669</v>
      </c>
      <c r="U86" s="12">
        <v>9</v>
      </c>
      <c r="V86" s="17">
        <f t="shared" si="10"/>
        <v>65.733333333333334</v>
      </c>
      <c r="W86" s="12">
        <v>3</v>
      </c>
      <c r="X86" s="131">
        <f t="shared" si="11"/>
        <v>66</v>
      </c>
    </row>
    <row r="87" spans="1:24" s="4" customFormat="1" ht="12.75" x14ac:dyDescent="0.2">
      <c r="A87" s="12">
        <v>19</v>
      </c>
      <c r="B87" s="11" t="s">
        <v>114</v>
      </c>
      <c r="C87" s="14">
        <f t="shared" si="3"/>
        <v>6.3766666666666678</v>
      </c>
      <c r="D87" s="16">
        <f>(C87*100)/C69</f>
        <v>106.01274591299531</v>
      </c>
      <c r="E87" s="12">
        <f>6*2</f>
        <v>12</v>
      </c>
      <c r="F87" s="17">
        <f t="shared" si="4"/>
        <v>7.666666666666667</v>
      </c>
      <c r="G87" s="16">
        <f t="shared" si="4"/>
        <v>8.3333333333333339</v>
      </c>
      <c r="H87" s="16">
        <f t="shared" si="4"/>
        <v>77.666666666666671</v>
      </c>
      <c r="I87" s="16">
        <f t="shared" si="4"/>
        <v>206.66666666666666</v>
      </c>
      <c r="J87" s="16">
        <f t="shared" si="4"/>
        <v>729</v>
      </c>
      <c r="K87" s="12">
        <v>4</v>
      </c>
      <c r="L87" s="17">
        <f t="shared" si="5"/>
        <v>12.6</v>
      </c>
      <c r="M87" s="12">
        <v>6</v>
      </c>
      <c r="N87" s="17">
        <f t="shared" si="6"/>
        <v>41.233333333333334</v>
      </c>
      <c r="O87" s="12">
        <v>5</v>
      </c>
      <c r="P87" s="17">
        <f t="shared" si="7"/>
        <v>23</v>
      </c>
      <c r="Q87" s="12">
        <v>5</v>
      </c>
      <c r="R87" s="17">
        <f t="shared" si="8"/>
        <v>40.533333333333331</v>
      </c>
      <c r="S87" s="12">
        <v>7</v>
      </c>
      <c r="T87" s="17">
        <f t="shared" si="9"/>
        <v>243.33333333333334</v>
      </c>
      <c r="U87" s="12">
        <v>7</v>
      </c>
      <c r="V87" s="17">
        <f t="shared" si="10"/>
        <v>66.266666666666666</v>
      </c>
      <c r="W87" s="12">
        <v>3</v>
      </c>
      <c r="X87" s="131">
        <f t="shared" si="11"/>
        <v>56.666666666666671</v>
      </c>
    </row>
    <row r="90" spans="1:24" ht="15.75" x14ac:dyDescent="0.25">
      <c r="B90" s="133" t="s">
        <v>218</v>
      </c>
      <c r="C90" s="134"/>
      <c r="D90" s="134"/>
      <c r="E90" s="134"/>
    </row>
  </sheetData>
  <mergeCells count="11">
    <mergeCell ref="P6:Q6"/>
    <mergeCell ref="A6:A7"/>
    <mergeCell ref="B6:B7"/>
    <mergeCell ref="C6:E6"/>
    <mergeCell ref="L6:M6"/>
    <mergeCell ref="X6:X7"/>
    <mergeCell ref="J6:K6"/>
    <mergeCell ref="N6:O6"/>
    <mergeCell ref="R6:S6"/>
    <mergeCell ref="T6:U6"/>
    <mergeCell ref="V6:W6"/>
  </mergeCells>
  <phoneticPr fontId="0" type="noConversion"/>
  <pageMargins left="0.25" right="0.25" top="0.75" bottom="0.75" header="0.3" footer="0.3"/>
  <pageSetup orientation="landscape" r:id="rId1"/>
  <headerFooter>
    <oddHeader>&amp;LZiemas kvieši  (Triticum aestivum L.) &amp;CZiemas kviešu saimniecisko īpašību novērtējums 2013.gadā.</oddHeader>
    <oddFooter>&amp;CLapa &amp;P no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28"/>
  <sheetViews>
    <sheetView workbookViewId="0">
      <selection activeCell="F8" sqref="F8"/>
    </sheetView>
  </sheetViews>
  <sheetFormatPr defaultRowHeight="14.25" x14ac:dyDescent="0.2"/>
  <cols>
    <col min="1" max="1" width="3.28515625" style="3" customWidth="1"/>
    <col min="2" max="2" width="24.28515625" style="3" customWidth="1"/>
    <col min="3" max="3" width="7.85546875" style="3" customWidth="1"/>
    <col min="4" max="4" width="12" style="3" customWidth="1"/>
    <col min="5" max="5" width="8.140625" style="3" customWidth="1"/>
    <col min="6" max="6" width="11.5703125" style="3" customWidth="1"/>
    <col min="7" max="7" width="7.42578125" style="3" customWidth="1"/>
    <col min="8" max="8" width="8.140625" style="3" customWidth="1"/>
    <col min="9" max="9" width="11.28515625" style="3" customWidth="1"/>
    <col min="10" max="10" width="8.140625" style="3" customWidth="1"/>
    <col min="11" max="11" width="7.140625" style="3" customWidth="1"/>
    <col min="12" max="12" width="10.42578125" style="3" customWidth="1"/>
    <col min="13" max="13" width="7.140625" style="3" customWidth="1"/>
    <col min="14" max="14" width="7.28515625" style="3" customWidth="1"/>
    <col min="15" max="15" width="8.42578125" style="3" customWidth="1"/>
    <col min="16" max="16" width="8.140625" style="3" customWidth="1"/>
    <col min="17" max="17" width="11.5703125" style="3" customWidth="1"/>
    <col min="18" max="16384" width="9.140625" style="3"/>
  </cols>
  <sheetData>
    <row r="2" spans="1:18" x14ac:dyDescent="0.2">
      <c r="C2" s="22" t="s">
        <v>217</v>
      </c>
    </row>
    <row r="4" spans="1:18" ht="15" x14ac:dyDescent="0.2">
      <c r="A4" s="2" t="s">
        <v>204</v>
      </c>
    </row>
    <row r="6" spans="1:18" s="4" customFormat="1" ht="63.75" customHeight="1" x14ac:dyDescent="0.2">
      <c r="A6" s="152" t="s">
        <v>12</v>
      </c>
      <c r="B6" s="152" t="s">
        <v>0</v>
      </c>
      <c r="C6" s="152" t="s">
        <v>241</v>
      </c>
      <c r="D6" s="152"/>
      <c r="E6" s="152"/>
      <c r="F6" s="11" t="s">
        <v>46</v>
      </c>
      <c r="G6" s="11" t="s">
        <v>210</v>
      </c>
      <c r="H6" s="11" t="s">
        <v>229</v>
      </c>
      <c r="I6" s="11" t="s">
        <v>60</v>
      </c>
      <c r="J6" s="11" t="s">
        <v>238</v>
      </c>
      <c r="K6" s="152" t="s">
        <v>239</v>
      </c>
      <c r="L6" s="152"/>
      <c r="M6" s="152"/>
      <c r="N6" s="11" t="s">
        <v>240</v>
      </c>
      <c r="O6" s="152" t="s">
        <v>48</v>
      </c>
      <c r="P6" s="152"/>
      <c r="Q6" s="152" t="s">
        <v>116</v>
      </c>
      <c r="R6" s="153" t="s">
        <v>30</v>
      </c>
    </row>
    <row r="7" spans="1:18" s="4" customFormat="1" ht="29.25" customHeight="1" x14ac:dyDescent="0.2">
      <c r="A7" s="152"/>
      <c r="B7" s="152"/>
      <c r="C7" s="12" t="s">
        <v>67</v>
      </c>
      <c r="D7" s="12" t="s">
        <v>44</v>
      </c>
      <c r="E7" s="12" t="s">
        <v>6</v>
      </c>
      <c r="F7" s="12" t="s">
        <v>45</v>
      </c>
      <c r="G7" s="12" t="s">
        <v>6</v>
      </c>
      <c r="H7" s="12" t="s">
        <v>59</v>
      </c>
      <c r="I7" s="12" t="s">
        <v>61</v>
      </c>
      <c r="J7" s="12" t="s">
        <v>15</v>
      </c>
      <c r="K7" s="12" t="s">
        <v>68</v>
      </c>
      <c r="L7" s="13" t="s">
        <v>44</v>
      </c>
      <c r="M7" s="13" t="s">
        <v>6</v>
      </c>
      <c r="N7" s="13" t="s">
        <v>63</v>
      </c>
      <c r="O7" s="12" t="s">
        <v>47</v>
      </c>
      <c r="P7" s="12" t="s">
        <v>6</v>
      </c>
      <c r="Q7" s="152"/>
      <c r="R7" s="153"/>
    </row>
    <row r="8" spans="1:18" s="4" customFormat="1" ht="12.75" x14ac:dyDescent="0.2">
      <c r="A8" s="5" t="s">
        <v>69</v>
      </c>
      <c r="R8" s="135"/>
    </row>
    <row r="9" spans="1:18" s="4" customFormat="1" ht="12.75" x14ac:dyDescent="0.2">
      <c r="A9" s="5" t="s">
        <v>234</v>
      </c>
      <c r="R9" s="135"/>
    </row>
    <row r="10" spans="1:18" s="4" customFormat="1" ht="12.75" x14ac:dyDescent="0.2">
      <c r="A10" s="12">
        <v>1</v>
      </c>
      <c r="B10" s="11" t="s">
        <v>37</v>
      </c>
      <c r="C10" s="12">
        <v>5.33</v>
      </c>
      <c r="D10" s="12">
        <v>100</v>
      </c>
      <c r="E10" s="12">
        <v>5</v>
      </c>
      <c r="F10" s="12">
        <v>8</v>
      </c>
      <c r="G10" s="12">
        <v>8</v>
      </c>
      <c r="H10" s="12">
        <v>109</v>
      </c>
      <c r="I10" s="12">
        <v>203</v>
      </c>
      <c r="J10" s="12">
        <v>47.6</v>
      </c>
      <c r="K10" s="14">
        <f>(J10*C10)/100</f>
        <v>2.53708</v>
      </c>
      <c r="L10" s="12">
        <v>100</v>
      </c>
      <c r="M10" s="12">
        <v>5</v>
      </c>
      <c r="N10" s="12">
        <v>6.54</v>
      </c>
      <c r="O10" s="12">
        <v>21.51</v>
      </c>
      <c r="P10" s="12">
        <v>7</v>
      </c>
      <c r="Q10" s="12">
        <v>699</v>
      </c>
      <c r="R10" s="147">
        <f>E10+F10+G10+M10+P10</f>
        <v>33</v>
      </c>
    </row>
    <row r="11" spans="1:18" s="4" customFormat="1" ht="12.75" x14ac:dyDescent="0.2">
      <c r="A11" s="12">
        <v>2</v>
      </c>
      <c r="B11" s="11" t="s">
        <v>70</v>
      </c>
      <c r="C11" s="12">
        <v>4.6399999999999997</v>
      </c>
      <c r="D11" s="16">
        <f>(C11*D10)/C10</f>
        <v>87.0544090056285</v>
      </c>
      <c r="E11" s="12">
        <v>4</v>
      </c>
      <c r="F11" s="12">
        <v>7</v>
      </c>
      <c r="G11" s="12">
        <v>8</v>
      </c>
      <c r="H11" s="12">
        <v>128</v>
      </c>
      <c r="I11" s="12">
        <v>208</v>
      </c>
      <c r="J11" s="12">
        <v>48.2</v>
      </c>
      <c r="K11" s="14">
        <f>(J11*C11)/100</f>
        <v>2.2364799999999998</v>
      </c>
      <c r="L11" s="16">
        <f>(K11*L10)/K10</f>
        <v>88.151733488892731</v>
      </c>
      <c r="M11" s="12">
        <v>4</v>
      </c>
      <c r="N11" s="12">
        <v>6.19</v>
      </c>
      <c r="O11" s="12">
        <v>20.89</v>
      </c>
      <c r="P11" s="12">
        <v>6</v>
      </c>
      <c r="Q11" s="12">
        <v>694</v>
      </c>
      <c r="R11" s="147">
        <f>E11+F11+G11+M11+P11</f>
        <v>29</v>
      </c>
    </row>
    <row r="12" spans="1:18" s="4" customFormat="1" ht="12.75" x14ac:dyDescent="0.2">
      <c r="A12" s="7"/>
      <c r="B12" s="8"/>
      <c r="C12" s="7"/>
      <c r="D12" s="9"/>
      <c r="E12" s="7"/>
      <c r="F12" s="7"/>
      <c r="G12" s="7"/>
      <c r="H12" s="7"/>
      <c r="I12" s="7"/>
      <c r="J12" s="7"/>
      <c r="K12" s="10"/>
      <c r="L12" s="9"/>
      <c r="M12" s="7"/>
      <c r="N12" s="7"/>
      <c r="O12" s="7"/>
      <c r="P12" s="7"/>
      <c r="Q12" s="7"/>
      <c r="R12" s="144"/>
    </row>
    <row r="13" spans="1:18" s="4" customFormat="1" ht="12.75" x14ac:dyDescent="0.2">
      <c r="A13" s="5" t="s">
        <v>216</v>
      </c>
      <c r="R13" s="144"/>
    </row>
    <row r="14" spans="1:18" s="4" customFormat="1" ht="12.75" x14ac:dyDescent="0.2">
      <c r="A14" s="12">
        <v>1</v>
      </c>
      <c r="B14" s="11" t="s">
        <v>37</v>
      </c>
      <c r="C14" s="12">
        <v>4.49</v>
      </c>
      <c r="D14" s="12">
        <v>100</v>
      </c>
      <c r="E14" s="12">
        <v>5</v>
      </c>
      <c r="F14" s="12">
        <v>9</v>
      </c>
      <c r="G14" s="12">
        <v>9</v>
      </c>
      <c r="H14" s="12">
        <v>138</v>
      </c>
      <c r="I14" s="12">
        <v>198</v>
      </c>
      <c r="J14" s="12">
        <v>48.7</v>
      </c>
      <c r="K14" s="14">
        <f>(J14*C14)/100</f>
        <v>2.1866300000000001</v>
      </c>
      <c r="L14" s="12">
        <v>100</v>
      </c>
      <c r="M14" s="12">
        <v>5</v>
      </c>
      <c r="N14" s="12">
        <v>5.28</v>
      </c>
      <c r="O14" s="12">
        <v>21.89</v>
      </c>
      <c r="P14" s="12">
        <v>7</v>
      </c>
      <c r="Q14" s="16">
        <v>690</v>
      </c>
      <c r="R14" s="147">
        <f>E14+F14+G14+M14+P14</f>
        <v>35</v>
      </c>
    </row>
    <row r="15" spans="1:18" s="4" customFormat="1" ht="12.75" x14ac:dyDescent="0.2">
      <c r="A15" s="12">
        <v>2</v>
      </c>
      <c r="B15" s="11" t="s">
        <v>70</v>
      </c>
      <c r="C15" s="12">
        <v>4.3099999999999996</v>
      </c>
      <c r="D15" s="16">
        <f>(C15*D14)/C14</f>
        <v>95.991091314031166</v>
      </c>
      <c r="E15" s="12">
        <v>5</v>
      </c>
      <c r="F15" s="12">
        <v>9</v>
      </c>
      <c r="G15" s="12">
        <v>9</v>
      </c>
      <c r="H15" s="12">
        <v>138</v>
      </c>
      <c r="I15" s="12">
        <v>198</v>
      </c>
      <c r="J15" s="12">
        <v>48.7</v>
      </c>
      <c r="K15" s="14">
        <f>(J15*C15)/100</f>
        <v>2.09897</v>
      </c>
      <c r="L15" s="16">
        <f>(K15*L14)/K14</f>
        <v>95.991091314031166</v>
      </c>
      <c r="M15" s="12">
        <v>5</v>
      </c>
      <c r="N15" s="12">
        <v>4.03</v>
      </c>
      <c r="O15" s="12">
        <v>21.39</v>
      </c>
      <c r="P15" s="12">
        <v>6</v>
      </c>
      <c r="Q15" s="12">
        <v>683</v>
      </c>
      <c r="R15" s="147">
        <f>E15+F15+G15+M15+P15</f>
        <v>34</v>
      </c>
    </row>
    <row r="16" spans="1:18" s="4" customFormat="1" ht="12.75" x14ac:dyDescent="0.2">
      <c r="A16" s="7"/>
      <c r="B16" s="8"/>
      <c r="C16" s="7"/>
      <c r="D16" s="9"/>
      <c r="E16" s="7"/>
      <c r="F16" s="7"/>
      <c r="G16" s="7"/>
      <c r="H16" s="7"/>
      <c r="I16" s="7"/>
      <c r="J16" s="7"/>
      <c r="K16" s="10"/>
      <c r="L16" s="9"/>
      <c r="M16" s="7"/>
      <c r="N16" s="7"/>
      <c r="O16" s="7"/>
      <c r="P16" s="7"/>
      <c r="Q16" s="7"/>
      <c r="R16" s="144"/>
    </row>
    <row r="17" spans="1:18" s="4" customFormat="1" ht="12.75" x14ac:dyDescent="0.2">
      <c r="A17" s="5" t="s">
        <v>117</v>
      </c>
      <c r="R17" s="144"/>
    </row>
    <row r="18" spans="1:18" s="4" customFormat="1" ht="12.75" x14ac:dyDescent="0.2">
      <c r="A18" s="12">
        <v>1</v>
      </c>
      <c r="B18" s="11" t="s">
        <v>37</v>
      </c>
      <c r="C18" s="12">
        <v>5.16</v>
      </c>
      <c r="D18" s="12">
        <v>100</v>
      </c>
      <c r="E18" s="12">
        <v>5</v>
      </c>
      <c r="F18" s="12">
        <v>8</v>
      </c>
      <c r="G18" s="12">
        <v>8</v>
      </c>
      <c r="H18" s="12">
        <v>109</v>
      </c>
      <c r="I18" s="12">
        <v>212</v>
      </c>
      <c r="J18" s="12">
        <v>47.6</v>
      </c>
      <c r="K18" s="14">
        <f>(J18*C18)/100</f>
        <v>2.4561600000000001</v>
      </c>
      <c r="L18" s="12">
        <v>100</v>
      </c>
      <c r="M18" s="12">
        <v>5</v>
      </c>
      <c r="N18" s="12">
        <v>6.3</v>
      </c>
      <c r="O18" s="12">
        <v>19.54</v>
      </c>
      <c r="P18" s="12">
        <v>4</v>
      </c>
      <c r="Q18" s="12">
        <v>688</v>
      </c>
      <c r="R18" s="147">
        <f>E18+F18+G18+M18+P18</f>
        <v>30</v>
      </c>
    </row>
    <row r="19" spans="1:18" s="4" customFormat="1" ht="12.75" x14ac:dyDescent="0.2">
      <c r="A19" s="12">
        <v>2</v>
      </c>
      <c r="B19" s="11" t="s">
        <v>70</v>
      </c>
      <c r="C19" s="14">
        <v>4.7300000000000004</v>
      </c>
      <c r="D19" s="16">
        <f>(C19*D18)/C18</f>
        <v>91.666666666666671</v>
      </c>
      <c r="E19" s="12">
        <v>4</v>
      </c>
      <c r="F19" s="12">
        <v>7</v>
      </c>
      <c r="G19" s="12">
        <v>9</v>
      </c>
      <c r="H19" s="12">
        <v>116</v>
      </c>
      <c r="I19" s="12">
        <v>212</v>
      </c>
      <c r="J19" s="12">
        <v>48.5</v>
      </c>
      <c r="K19" s="14">
        <f>(J19*C19)/100</f>
        <v>2.2940500000000004</v>
      </c>
      <c r="L19" s="16">
        <f>(K19*L18)/K18</f>
        <v>93.399859943977603</v>
      </c>
      <c r="M19" s="12">
        <v>4</v>
      </c>
      <c r="N19" s="12">
        <v>5.7</v>
      </c>
      <c r="O19" s="12">
        <v>19.75</v>
      </c>
      <c r="P19" s="12">
        <v>5</v>
      </c>
      <c r="Q19" s="12">
        <v>656</v>
      </c>
      <c r="R19" s="147">
        <f>E19+F19+G19+M19+P19</f>
        <v>29</v>
      </c>
    </row>
    <row r="20" spans="1:18" s="4" customFormat="1" ht="12.75" x14ac:dyDescent="0.2">
      <c r="A20" s="7"/>
      <c r="B20" s="8"/>
      <c r="C20" s="10"/>
      <c r="D20" s="9"/>
      <c r="E20" s="7"/>
      <c r="F20" s="7"/>
      <c r="G20" s="7"/>
      <c r="H20" s="7"/>
      <c r="I20" s="7"/>
      <c r="J20" s="7"/>
      <c r="K20" s="10"/>
      <c r="L20" s="9"/>
      <c r="M20" s="7"/>
      <c r="N20" s="7"/>
      <c r="O20" s="7"/>
      <c r="P20" s="7"/>
      <c r="Q20" s="7"/>
      <c r="R20" s="144"/>
    </row>
    <row r="21" spans="1:18" s="4" customFormat="1" ht="12.75" x14ac:dyDescent="0.2">
      <c r="A21" s="5" t="s">
        <v>29</v>
      </c>
      <c r="R21" s="144"/>
    </row>
    <row r="22" spans="1:18" s="4" customFormat="1" ht="12.75" x14ac:dyDescent="0.2">
      <c r="A22" s="12">
        <v>1</v>
      </c>
      <c r="B22" s="11" t="s">
        <v>37</v>
      </c>
      <c r="C22" s="14">
        <f>(C10+C14+C18)/3</f>
        <v>4.9933333333333332</v>
      </c>
      <c r="D22" s="12">
        <v>100</v>
      </c>
      <c r="E22" s="12">
        <v>5</v>
      </c>
      <c r="F22" s="16">
        <f t="shared" ref="F22:J23" si="0">(F10+F14+F18)/3</f>
        <v>8.3333333333333339</v>
      </c>
      <c r="G22" s="16">
        <f t="shared" si="0"/>
        <v>8.3333333333333339</v>
      </c>
      <c r="H22" s="16">
        <f t="shared" si="0"/>
        <v>118.66666666666667</v>
      </c>
      <c r="I22" s="16">
        <f t="shared" si="0"/>
        <v>204.33333333333334</v>
      </c>
      <c r="J22" s="17">
        <f t="shared" si="0"/>
        <v>47.966666666666669</v>
      </c>
      <c r="K22" s="14">
        <f>(J22*C22)/100</f>
        <v>2.3951355555555556</v>
      </c>
      <c r="L22" s="12">
        <v>100</v>
      </c>
      <c r="M22" s="12">
        <v>5</v>
      </c>
      <c r="N22" s="17">
        <f>(N10+N14+N18)/3</f>
        <v>6.04</v>
      </c>
      <c r="O22" s="14">
        <f>(O10+O14+O18)/3</f>
        <v>20.98</v>
      </c>
      <c r="P22" s="12">
        <v>6</v>
      </c>
      <c r="Q22" s="16">
        <f>(Q10+Q14+Q18)/3</f>
        <v>692.33333333333337</v>
      </c>
      <c r="R22" s="131">
        <f>E22+F22+G22+M22+P22</f>
        <v>32.666666666666671</v>
      </c>
    </row>
    <row r="23" spans="1:18" s="4" customFormat="1" ht="12.75" x14ac:dyDescent="0.2">
      <c r="A23" s="12">
        <v>2</v>
      </c>
      <c r="B23" s="11" t="s">
        <v>70</v>
      </c>
      <c r="C23" s="14">
        <f>(C11+C15+C19)/3</f>
        <v>4.5599999999999996</v>
      </c>
      <c r="D23" s="16">
        <f>(C23*D22)/C22</f>
        <v>91.321762349799727</v>
      </c>
      <c r="E23" s="12">
        <v>4</v>
      </c>
      <c r="F23" s="16">
        <f t="shared" si="0"/>
        <v>7.666666666666667</v>
      </c>
      <c r="G23" s="16">
        <f t="shared" si="0"/>
        <v>8.6666666666666661</v>
      </c>
      <c r="H23" s="16">
        <f t="shared" si="0"/>
        <v>127.33333333333333</v>
      </c>
      <c r="I23" s="16">
        <f t="shared" si="0"/>
        <v>206</v>
      </c>
      <c r="J23" s="17">
        <f t="shared" si="0"/>
        <v>48.466666666666669</v>
      </c>
      <c r="K23" s="14">
        <f>(J23*C23)/100</f>
        <v>2.2100799999999996</v>
      </c>
      <c r="L23" s="16">
        <f>(K23*L22)/K22</f>
        <v>92.273691769707284</v>
      </c>
      <c r="M23" s="12">
        <v>4</v>
      </c>
      <c r="N23" s="17">
        <f>(N11+N15+N19)/3</f>
        <v>5.3066666666666675</v>
      </c>
      <c r="O23" s="14">
        <f>(O11+O15+O19)/3</f>
        <v>20.676666666666666</v>
      </c>
      <c r="P23" s="12">
        <v>6</v>
      </c>
      <c r="Q23" s="16">
        <f>(Q11+Q15+Q19)/3</f>
        <v>677.66666666666663</v>
      </c>
      <c r="R23" s="131">
        <f>E23+F23+G23+M23+P23</f>
        <v>30.333333333333336</v>
      </c>
    </row>
    <row r="24" spans="1:18" s="4" customFormat="1" ht="12.75" x14ac:dyDescent="0.2">
      <c r="A24" s="7"/>
      <c r="B24" s="8"/>
      <c r="C24" s="10"/>
      <c r="D24" s="9"/>
      <c r="E24" s="7"/>
      <c r="F24" s="7"/>
      <c r="G24" s="7"/>
      <c r="H24" s="7"/>
      <c r="I24" s="7"/>
      <c r="J24" s="7"/>
      <c r="K24" s="10"/>
      <c r="L24" s="9"/>
      <c r="M24" s="7"/>
      <c r="N24" s="7"/>
      <c r="O24" s="8"/>
      <c r="P24" s="8"/>
      <c r="Q24" s="7"/>
      <c r="R24" s="76"/>
    </row>
    <row r="25" spans="1:18" s="4" customFormat="1" ht="12.75" x14ac:dyDescent="0.2">
      <c r="A25" s="162" t="s">
        <v>71</v>
      </c>
      <c r="B25" s="162"/>
      <c r="R25" s="76"/>
    </row>
    <row r="26" spans="1:18" s="4" customFormat="1" ht="12.75" x14ac:dyDescent="0.2">
      <c r="A26" s="5" t="s">
        <v>234</v>
      </c>
      <c r="R26" s="76"/>
    </row>
    <row r="27" spans="1:18" s="4" customFormat="1" ht="12.75" x14ac:dyDescent="0.2">
      <c r="A27" s="12">
        <v>1</v>
      </c>
      <c r="B27" s="11" t="s">
        <v>38</v>
      </c>
      <c r="C27" s="12">
        <f>(5.67+5.25)/2</f>
        <v>5.46</v>
      </c>
      <c r="D27" s="12">
        <v>100</v>
      </c>
      <c r="E27" s="12">
        <v>5</v>
      </c>
      <c r="F27" s="12">
        <v>8</v>
      </c>
      <c r="G27" s="12">
        <v>8</v>
      </c>
      <c r="H27" s="12">
        <f>(113+109)/2</f>
        <v>111</v>
      </c>
      <c r="I27" s="12">
        <v>204</v>
      </c>
      <c r="J27" s="12">
        <f>(49+49.4)/2</f>
        <v>49.2</v>
      </c>
      <c r="K27" s="14">
        <f t="shared" ref="K27:K92" si="1">(J27*C27)/100</f>
        <v>2.6863200000000003</v>
      </c>
      <c r="L27" s="12">
        <v>100</v>
      </c>
      <c r="M27" s="12">
        <v>5</v>
      </c>
      <c r="N27" s="14">
        <f>(5.78+5.82)/2</f>
        <v>5.8000000000000007</v>
      </c>
      <c r="O27" s="14">
        <f>(20.53+19.12)/2</f>
        <v>19.825000000000003</v>
      </c>
      <c r="P27" s="12">
        <v>5</v>
      </c>
      <c r="Q27" s="16">
        <v>694</v>
      </c>
      <c r="R27" s="147">
        <f t="shared" ref="R27:R92" si="2">E27+F27+G27+M27+P27</f>
        <v>31</v>
      </c>
    </row>
    <row r="28" spans="1:18" s="4" customFormat="1" ht="12.75" x14ac:dyDescent="0.2">
      <c r="A28" s="12">
        <v>2</v>
      </c>
      <c r="B28" s="11" t="s">
        <v>39</v>
      </c>
      <c r="C28" s="12">
        <v>4.55</v>
      </c>
      <c r="D28" s="16">
        <f>(C28*100)/C27</f>
        <v>83.333333333333329</v>
      </c>
      <c r="E28" s="12">
        <v>3</v>
      </c>
      <c r="F28" s="12">
        <v>7</v>
      </c>
      <c r="G28" s="12">
        <v>8</v>
      </c>
      <c r="H28" s="12">
        <v>121</v>
      </c>
      <c r="I28" s="12">
        <v>206</v>
      </c>
      <c r="J28" s="17">
        <v>48</v>
      </c>
      <c r="K28" s="14">
        <f t="shared" si="1"/>
        <v>2.1839999999999997</v>
      </c>
      <c r="L28" s="16">
        <f>(K28*100)/K27</f>
        <v>81.300813008130064</v>
      </c>
      <c r="M28" s="12">
        <v>3</v>
      </c>
      <c r="N28" s="12">
        <v>5.91</v>
      </c>
      <c r="O28" s="14">
        <v>21.05</v>
      </c>
      <c r="P28" s="12">
        <v>7</v>
      </c>
      <c r="Q28" s="12">
        <v>695</v>
      </c>
      <c r="R28" s="147">
        <f t="shared" si="2"/>
        <v>28</v>
      </c>
    </row>
    <row r="29" spans="1:18" s="4" customFormat="1" ht="12.75" x14ac:dyDescent="0.2">
      <c r="A29" s="12">
        <v>3</v>
      </c>
      <c r="B29" s="11" t="s">
        <v>40</v>
      </c>
      <c r="C29" s="12">
        <v>4.58</v>
      </c>
      <c r="D29" s="16">
        <f>(C29*100)/C27</f>
        <v>83.882783882783883</v>
      </c>
      <c r="E29" s="12">
        <v>3</v>
      </c>
      <c r="F29" s="12">
        <v>6</v>
      </c>
      <c r="G29" s="12">
        <v>8</v>
      </c>
      <c r="H29" s="12">
        <v>120</v>
      </c>
      <c r="I29" s="12">
        <v>205</v>
      </c>
      <c r="J29" s="12">
        <v>47.4</v>
      </c>
      <c r="K29" s="14">
        <f t="shared" si="1"/>
        <v>2.1709199999999997</v>
      </c>
      <c r="L29" s="16">
        <f>(K29*100)/K27</f>
        <v>80.813901545608843</v>
      </c>
      <c r="M29" s="12">
        <v>3</v>
      </c>
      <c r="N29" s="12">
        <v>6.21</v>
      </c>
      <c r="O29" s="14">
        <v>20</v>
      </c>
      <c r="P29" s="12">
        <v>5</v>
      </c>
      <c r="Q29" s="12">
        <v>691</v>
      </c>
      <c r="R29" s="147">
        <f t="shared" si="2"/>
        <v>25</v>
      </c>
    </row>
    <row r="30" spans="1:18" s="4" customFormat="1" ht="12.75" x14ac:dyDescent="0.2">
      <c r="A30" s="12">
        <v>4</v>
      </c>
      <c r="B30" s="11" t="s">
        <v>72</v>
      </c>
      <c r="C30" s="12">
        <v>4.37</v>
      </c>
      <c r="D30" s="16">
        <f>(C30*100)/C27</f>
        <v>80.036630036630044</v>
      </c>
      <c r="E30" s="12">
        <v>3</v>
      </c>
      <c r="F30" s="12">
        <v>7</v>
      </c>
      <c r="G30" s="12">
        <v>8</v>
      </c>
      <c r="H30" s="12">
        <v>123</v>
      </c>
      <c r="I30" s="12">
        <v>204</v>
      </c>
      <c r="J30" s="12">
        <v>49.3</v>
      </c>
      <c r="K30" s="14">
        <f t="shared" si="1"/>
        <v>2.1544099999999999</v>
      </c>
      <c r="L30" s="16">
        <f>(K30*100)/K27</f>
        <v>80.199306113940253</v>
      </c>
      <c r="M30" s="12">
        <v>3</v>
      </c>
      <c r="N30" s="12">
        <v>5.35</v>
      </c>
      <c r="O30" s="14">
        <v>20.04</v>
      </c>
      <c r="P30" s="12">
        <v>5</v>
      </c>
      <c r="Q30" s="12">
        <v>689</v>
      </c>
      <c r="R30" s="147">
        <f t="shared" si="2"/>
        <v>26</v>
      </c>
    </row>
    <row r="31" spans="1:18" s="4" customFormat="1" ht="12.75" x14ac:dyDescent="0.2">
      <c r="A31" s="12">
        <v>5</v>
      </c>
      <c r="B31" s="11" t="s">
        <v>73</v>
      </c>
      <c r="C31" s="12">
        <v>4.88</v>
      </c>
      <c r="D31" s="16">
        <f>(C31*100)/C27</f>
        <v>89.377289377289372</v>
      </c>
      <c r="E31" s="12">
        <v>4</v>
      </c>
      <c r="F31" s="12">
        <v>6</v>
      </c>
      <c r="G31" s="12">
        <v>8</v>
      </c>
      <c r="H31" s="12">
        <v>126</v>
      </c>
      <c r="I31" s="12">
        <v>206</v>
      </c>
      <c r="J31" s="17">
        <v>50</v>
      </c>
      <c r="K31" s="14">
        <f t="shared" si="1"/>
        <v>2.44</v>
      </c>
      <c r="L31" s="16">
        <f>(K31*100)/K27</f>
        <v>90.830578635456675</v>
      </c>
      <c r="M31" s="12">
        <v>4</v>
      </c>
      <c r="N31" s="12">
        <v>5.93</v>
      </c>
      <c r="O31" s="14">
        <v>19.28</v>
      </c>
      <c r="P31" s="12">
        <v>4</v>
      </c>
      <c r="Q31" s="12">
        <v>693</v>
      </c>
      <c r="R31" s="147">
        <f t="shared" si="2"/>
        <v>26</v>
      </c>
    </row>
    <row r="32" spans="1:18" s="4" customFormat="1" ht="12.75" x14ac:dyDescent="0.2">
      <c r="A32" s="12">
        <v>6</v>
      </c>
      <c r="B32" s="11" t="s">
        <v>74</v>
      </c>
      <c r="C32" s="12">
        <v>4.46</v>
      </c>
      <c r="D32" s="16">
        <f>(C32*100)/C27</f>
        <v>81.684981684981679</v>
      </c>
      <c r="E32" s="12">
        <v>3</v>
      </c>
      <c r="F32" s="12">
        <v>6</v>
      </c>
      <c r="G32" s="12">
        <v>8</v>
      </c>
      <c r="H32" s="12">
        <v>128</v>
      </c>
      <c r="I32" s="12">
        <v>206</v>
      </c>
      <c r="J32" s="12">
        <v>45.1</v>
      </c>
      <c r="K32" s="14">
        <f t="shared" si="1"/>
        <v>2.01146</v>
      </c>
      <c r="L32" s="16">
        <f>(K32*100)/K27</f>
        <v>74.877899877899878</v>
      </c>
      <c r="M32" s="12">
        <v>2</v>
      </c>
      <c r="N32" s="12">
        <v>5.66</v>
      </c>
      <c r="O32" s="14">
        <v>21.49</v>
      </c>
      <c r="P32" s="12">
        <v>6</v>
      </c>
      <c r="Q32" s="12">
        <v>694</v>
      </c>
      <c r="R32" s="147">
        <f t="shared" si="2"/>
        <v>25</v>
      </c>
    </row>
    <row r="33" spans="1:18" s="4" customFormat="1" ht="12.75" x14ac:dyDescent="0.2">
      <c r="A33" s="12">
        <v>7</v>
      </c>
      <c r="B33" s="11" t="s">
        <v>34</v>
      </c>
      <c r="C33" s="12">
        <v>4.04</v>
      </c>
      <c r="D33" s="16">
        <f>(C33*100)/C27</f>
        <v>73.992673992674</v>
      </c>
      <c r="E33" s="12">
        <v>2</v>
      </c>
      <c r="F33" s="12">
        <v>6</v>
      </c>
      <c r="G33" s="12">
        <v>8</v>
      </c>
      <c r="H33" s="12">
        <v>106</v>
      </c>
      <c r="I33" s="12">
        <v>207</v>
      </c>
      <c r="J33" s="12">
        <v>46.5</v>
      </c>
      <c r="K33" s="14">
        <f t="shared" si="1"/>
        <v>1.8786</v>
      </c>
      <c r="L33" s="16">
        <f>(K33*100)/K27</f>
        <v>69.932100419905296</v>
      </c>
      <c r="M33" s="12">
        <v>2</v>
      </c>
      <c r="N33" s="12">
        <v>6.21</v>
      </c>
      <c r="O33" s="14">
        <v>20.99</v>
      </c>
      <c r="P33" s="12">
        <v>6</v>
      </c>
      <c r="Q33" s="12">
        <v>699</v>
      </c>
      <c r="R33" s="147">
        <f t="shared" si="2"/>
        <v>24</v>
      </c>
    </row>
    <row r="34" spans="1:18" s="4" customFormat="1" ht="12.75" x14ac:dyDescent="0.2">
      <c r="A34" s="12">
        <v>8</v>
      </c>
      <c r="B34" s="11" t="s">
        <v>35</v>
      </c>
      <c r="C34" s="12">
        <v>3.77</v>
      </c>
      <c r="D34" s="16">
        <f>(C34*100)/C27</f>
        <v>69.047619047619051</v>
      </c>
      <c r="E34" s="12">
        <v>2</v>
      </c>
      <c r="F34" s="12">
        <v>6</v>
      </c>
      <c r="G34" s="12">
        <v>8</v>
      </c>
      <c r="H34" s="12">
        <v>114</v>
      </c>
      <c r="I34" s="12">
        <v>204</v>
      </c>
      <c r="J34" s="12">
        <v>46.1</v>
      </c>
      <c r="K34" s="14">
        <f t="shared" si="1"/>
        <v>1.73797</v>
      </c>
      <c r="L34" s="16">
        <f>(K34*100)/K27</f>
        <v>64.697057684862557</v>
      </c>
      <c r="M34" s="12">
        <v>1</v>
      </c>
      <c r="N34" s="12">
        <v>5.38</v>
      </c>
      <c r="O34" s="14">
        <v>21.02</v>
      </c>
      <c r="P34" s="12">
        <v>6</v>
      </c>
      <c r="Q34" s="12">
        <v>697</v>
      </c>
      <c r="R34" s="147">
        <f t="shared" si="2"/>
        <v>23</v>
      </c>
    </row>
    <row r="35" spans="1:18" s="4" customFormat="1" ht="12.75" x14ac:dyDescent="0.2">
      <c r="A35" s="12">
        <v>9</v>
      </c>
      <c r="B35" s="11" t="s">
        <v>75</v>
      </c>
      <c r="C35" s="12">
        <v>3.86</v>
      </c>
      <c r="D35" s="16">
        <f>(C35*100)/C27</f>
        <v>70.695970695970701</v>
      </c>
      <c r="E35" s="12">
        <v>2</v>
      </c>
      <c r="F35" s="12">
        <v>5</v>
      </c>
      <c r="G35" s="12">
        <v>8</v>
      </c>
      <c r="H35" s="12">
        <v>85</v>
      </c>
      <c r="I35" s="12">
        <v>207</v>
      </c>
      <c r="J35" s="12">
        <v>46.8</v>
      </c>
      <c r="K35" s="14">
        <f t="shared" si="1"/>
        <v>1.8064799999999999</v>
      </c>
      <c r="L35" s="16">
        <f>(K35*100)/K27</f>
        <v>67.247386759581872</v>
      </c>
      <c r="M35" s="12">
        <v>2</v>
      </c>
      <c r="N35" s="12">
        <v>5.75</v>
      </c>
      <c r="O35" s="14">
        <v>22.13</v>
      </c>
      <c r="P35" s="12">
        <v>7</v>
      </c>
      <c r="Q35" s="12">
        <v>667</v>
      </c>
      <c r="R35" s="147">
        <f t="shared" si="2"/>
        <v>24</v>
      </c>
    </row>
    <row r="36" spans="1:18" s="4" customFormat="1" ht="12.75" x14ac:dyDescent="0.2">
      <c r="A36" s="12">
        <v>10</v>
      </c>
      <c r="B36" s="11" t="s">
        <v>76</v>
      </c>
      <c r="C36" s="12">
        <v>3.84</v>
      </c>
      <c r="D36" s="16">
        <f>(C36*100)/C27</f>
        <v>70.329670329670336</v>
      </c>
      <c r="E36" s="12">
        <v>2</v>
      </c>
      <c r="F36" s="12">
        <v>6</v>
      </c>
      <c r="G36" s="12">
        <v>8</v>
      </c>
      <c r="H36" s="12">
        <v>108</v>
      </c>
      <c r="I36" s="12">
        <v>208</v>
      </c>
      <c r="J36" s="12">
        <v>46.4</v>
      </c>
      <c r="K36" s="14">
        <f t="shared" si="1"/>
        <v>1.7817599999999998</v>
      </c>
      <c r="L36" s="16">
        <f>(K36*100)/K27</f>
        <v>66.32716876619314</v>
      </c>
      <c r="M36" s="12">
        <v>2</v>
      </c>
      <c r="N36" s="12">
        <v>6.03</v>
      </c>
      <c r="O36" s="14">
        <v>22.67</v>
      </c>
      <c r="P36" s="12">
        <v>8</v>
      </c>
      <c r="Q36" s="12">
        <v>684</v>
      </c>
      <c r="R36" s="147">
        <f t="shared" si="2"/>
        <v>26</v>
      </c>
    </row>
    <row r="37" spans="1:18" s="4" customFormat="1" ht="12.75" x14ac:dyDescent="0.2">
      <c r="A37" s="12">
        <v>11</v>
      </c>
      <c r="B37" s="11" t="s">
        <v>41</v>
      </c>
      <c r="C37" s="14">
        <v>5.7</v>
      </c>
      <c r="D37" s="16">
        <f>(C37*100)/C27</f>
        <v>104.39560439560439</v>
      </c>
      <c r="E37" s="12">
        <v>5</v>
      </c>
      <c r="F37" s="12">
        <v>8</v>
      </c>
      <c r="G37" s="12">
        <v>8</v>
      </c>
      <c r="H37" s="12">
        <v>119</v>
      </c>
      <c r="I37" s="12">
        <v>205</v>
      </c>
      <c r="J37" s="12">
        <v>47.4</v>
      </c>
      <c r="K37" s="14">
        <f t="shared" si="1"/>
        <v>2.7018</v>
      </c>
      <c r="L37" s="16">
        <f>(K37*100)/K27</f>
        <v>100.5762530152774</v>
      </c>
      <c r="M37" s="12">
        <v>5</v>
      </c>
      <c r="N37" s="12">
        <v>5.95</v>
      </c>
      <c r="O37" s="14">
        <v>21.23</v>
      </c>
      <c r="P37" s="12">
        <v>6</v>
      </c>
      <c r="Q37" s="12">
        <v>691</v>
      </c>
      <c r="R37" s="147">
        <f t="shared" si="2"/>
        <v>32</v>
      </c>
    </row>
    <row r="38" spans="1:18" s="4" customFormat="1" ht="12.75" x14ac:dyDescent="0.2">
      <c r="A38" s="12">
        <v>12</v>
      </c>
      <c r="B38" s="11" t="s">
        <v>42</v>
      </c>
      <c r="C38" s="12">
        <v>4.1399999999999997</v>
      </c>
      <c r="D38" s="16">
        <f>(C38*100)/C27</f>
        <v>75.824175824175811</v>
      </c>
      <c r="E38" s="12">
        <v>3</v>
      </c>
      <c r="F38" s="12">
        <v>7</v>
      </c>
      <c r="G38" s="12">
        <v>8</v>
      </c>
      <c r="H38" s="12">
        <v>108</v>
      </c>
      <c r="I38" s="12">
        <v>205</v>
      </c>
      <c r="J38" s="12">
        <v>46.4</v>
      </c>
      <c r="K38" s="14">
        <f t="shared" si="1"/>
        <v>1.9209599999999998</v>
      </c>
      <c r="L38" s="16">
        <f>(K38*100)/K27</f>
        <v>71.508978826051987</v>
      </c>
      <c r="M38" s="12">
        <v>2</v>
      </c>
      <c r="N38" s="12">
        <v>6.64</v>
      </c>
      <c r="O38" s="14">
        <v>21.68</v>
      </c>
      <c r="P38" s="12">
        <v>7</v>
      </c>
      <c r="Q38" s="16">
        <v>660</v>
      </c>
      <c r="R38" s="147">
        <f t="shared" si="2"/>
        <v>27</v>
      </c>
    </row>
    <row r="39" spans="1:18" s="4" customFormat="1" ht="12.75" x14ac:dyDescent="0.2">
      <c r="A39" s="12">
        <v>13</v>
      </c>
      <c r="B39" s="11" t="s">
        <v>43</v>
      </c>
      <c r="C39" s="14">
        <v>4.8</v>
      </c>
      <c r="D39" s="16">
        <f>(C39*100)/C27</f>
        <v>87.912087912087912</v>
      </c>
      <c r="E39" s="12">
        <v>4</v>
      </c>
      <c r="F39" s="12">
        <v>7</v>
      </c>
      <c r="G39" s="12">
        <v>8</v>
      </c>
      <c r="H39" s="12">
        <v>109</v>
      </c>
      <c r="I39" s="12">
        <v>205</v>
      </c>
      <c r="J39" s="12">
        <v>47.4</v>
      </c>
      <c r="K39" s="14">
        <f t="shared" si="1"/>
        <v>2.2751999999999999</v>
      </c>
      <c r="L39" s="16">
        <f>(K39*100)/K27</f>
        <v>84.695792012865169</v>
      </c>
      <c r="M39" s="12">
        <v>3</v>
      </c>
      <c r="N39" s="14">
        <v>5.9</v>
      </c>
      <c r="O39" s="14">
        <v>21</v>
      </c>
      <c r="P39" s="12">
        <v>6</v>
      </c>
      <c r="Q39" s="12">
        <v>696</v>
      </c>
      <c r="R39" s="147">
        <f t="shared" si="2"/>
        <v>28</v>
      </c>
    </row>
    <row r="40" spans="1:18" s="4" customFormat="1" ht="12.75" x14ac:dyDescent="0.2">
      <c r="A40" s="12">
        <v>14</v>
      </c>
      <c r="B40" s="11" t="s">
        <v>77</v>
      </c>
      <c r="C40" s="12">
        <v>4.79</v>
      </c>
      <c r="D40" s="16">
        <f>(C40*100)/C27</f>
        <v>87.728937728937723</v>
      </c>
      <c r="E40" s="12">
        <v>4</v>
      </c>
      <c r="F40" s="12">
        <v>8</v>
      </c>
      <c r="G40" s="12">
        <v>8</v>
      </c>
      <c r="H40" s="12">
        <v>108</v>
      </c>
      <c r="I40" s="12">
        <v>206</v>
      </c>
      <c r="J40" s="12">
        <v>46.8</v>
      </c>
      <c r="K40" s="14">
        <f t="shared" si="1"/>
        <v>2.2417199999999999</v>
      </c>
      <c r="L40" s="16">
        <f>(K40*100)/K27</f>
        <v>83.449477351916372</v>
      </c>
      <c r="M40" s="12">
        <v>3</v>
      </c>
      <c r="N40" s="12">
        <v>6.06</v>
      </c>
      <c r="O40" s="14">
        <v>22.02</v>
      </c>
      <c r="P40" s="12">
        <v>7</v>
      </c>
      <c r="Q40" s="12">
        <v>693</v>
      </c>
      <c r="R40" s="147">
        <f t="shared" si="2"/>
        <v>30</v>
      </c>
    </row>
    <row r="41" spans="1:18" s="4" customFormat="1" ht="12.75" x14ac:dyDescent="0.2">
      <c r="A41" s="12">
        <v>15</v>
      </c>
      <c r="B41" s="11" t="s">
        <v>78</v>
      </c>
      <c r="C41" s="12">
        <v>5.31</v>
      </c>
      <c r="D41" s="16">
        <f>(C41*100)/C27</f>
        <v>97.252747252747255</v>
      </c>
      <c r="E41" s="12">
        <v>5</v>
      </c>
      <c r="F41" s="12">
        <v>8</v>
      </c>
      <c r="G41" s="12">
        <v>8</v>
      </c>
      <c r="H41" s="12">
        <v>109</v>
      </c>
      <c r="I41" s="12">
        <v>206</v>
      </c>
      <c r="J41" s="12">
        <v>46.1</v>
      </c>
      <c r="K41" s="14">
        <f t="shared" si="1"/>
        <v>2.4479099999999998</v>
      </c>
      <c r="L41" s="16">
        <f>(K41*100)/K27</f>
        <v>91.125033503082264</v>
      </c>
      <c r="M41" s="12">
        <v>4</v>
      </c>
      <c r="N41" s="12">
        <v>6.47</v>
      </c>
      <c r="O41" s="14">
        <v>21.41</v>
      </c>
      <c r="P41" s="12">
        <v>6</v>
      </c>
      <c r="Q41" s="12">
        <v>684</v>
      </c>
      <c r="R41" s="147">
        <f t="shared" si="2"/>
        <v>31</v>
      </c>
    </row>
    <row r="42" spans="1:18" s="4" customFormat="1" ht="12.75" x14ac:dyDescent="0.2">
      <c r="A42" s="12">
        <v>16</v>
      </c>
      <c r="B42" s="11" t="s">
        <v>79</v>
      </c>
      <c r="C42" s="12">
        <v>5.86</v>
      </c>
      <c r="D42" s="16">
        <f>(C42*100)/C27</f>
        <v>107.32600732600733</v>
      </c>
      <c r="E42" s="12">
        <v>6</v>
      </c>
      <c r="F42" s="12">
        <v>8</v>
      </c>
      <c r="G42" s="12">
        <v>8</v>
      </c>
      <c r="H42" s="12">
        <v>120</v>
      </c>
      <c r="I42" s="12">
        <v>206</v>
      </c>
      <c r="J42" s="12">
        <v>49.9</v>
      </c>
      <c r="K42" s="14">
        <f t="shared" si="1"/>
        <v>2.92414</v>
      </c>
      <c r="L42" s="16">
        <f>(K42*100)/K27</f>
        <v>108.85300336519848</v>
      </c>
      <c r="M42" s="12">
        <v>6</v>
      </c>
      <c r="N42" s="12">
        <v>4.8099999999999996</v>
      </c>
      <c r="O42" s="14">
        <v>19.47</v>
      </c>
      <c r="P42" s="12">
        <v>5</v>
      </c>
      <c r="Q42" s="12">
        <v>694</v>
      </c>
      <c r="R42" s="147">
        <f t="shared" si="2"/>
        <v>33</v>
      </c>
    </row>
    <row r="43" spans="1:18" s="4" customFormat="1" ht="12.75" x14ac:dyDescent="0.2">
      <c r="A43" s="12">
        <v>17</v>
      </c>
      <c r="B43" s="11" t="s">
        <v>80</v>
      </c>
      <c r="C43" s="12">
        <v>4.96</v>
      </c>
      <c r="D43" s="16">
        <f>(C43*100)/C27</f>
        <v>90.842490842490847</v>
      </c>
      <c r="E43" s="12">
        <v>4</v>
      </c>
      <c r="F43" s="12">
        <v>8</v>
      </c>
      <c r="G43" s="12">
        <v>8</v>
      </c>
      <c r="H43" s="12">
        <v>105</v>
      </c>
      <c r="I43" s="12">
        <v>206</v>
      </c>
      <c r="J43" s="12">
        <v>46.5</v>
      </c>
      <c r="K43" s="14">
        <f t="shared" si="1"/>
        <v>2.3064</v>
      </c>
      <c r="L43" s="16">
        <f>(K43*100)/K27</f>
        <v>85.857232198695598</v>
      </c>
      <c r="M43" s="12">
        <v>4</v>
      </c>
      <c r="N43" s="12">
        <v>5.84</v>
      </c>
      <c r="O43" s="14">
        <v>21.63</v>
      </c>
      <c r="P43" s="12">
        <v>7</v>
      </c>
      <c r="Q43" s="12">
        <v>686</v>
      </c>
      <c r="R43" s="147">
        <f t="shared" si="2"/>
        <v>31</v>
      </c>
    </row>
    <row r="44" spans="1:18" s="4" customFormat="1" ht="12.75" x14ac:dyDescent="0.2">
      <c r="A44" s="12">
        <v>18</v>
      </c>
      <c r="B44" s="11" t="s">
        <v>81</v>
      </c>
      <c r="C44" s="12">
        <v>5.65</v>
      </c>
      <c r="D44" s="16">
        <f>(C44*100)/C27</f>
        <v>103.47985347985347</v>
      </c>
      <c r="E44" s="12">
        <v>5</v>
      </c>
      <c r="F44" s="12">
        <v>7</v>
      </c>
      <c r="G44" s="12">
        <v>8</v>
      </c>
      <c r="H44" s="12">
        <v>111</v>
      </c>
      <c r="I44" s="12">
        <v>205</v>
      </c>
      <c r="J44" s="12">
        <v>47.3</v>
      </c>
      <c r="K44" s="14">
        <f t="shared" si="1"/>
        <v>2.67245</v>
      </c>
      <c r="L44" s="16">
        <f>(K44*100)/K27</f>
        <v>99.483680276363202</v>
      </c>
      <c r="M44" s="12">
        <v>5</v>
      </c>
      <c r="N44" s="12">
        <v>4.68</v>
      </c>
      <c r="O44" s="14">
        <v>20.86</v>
      </c>
      <c r="P44" s="12">
        <v>6</v>
      </c>
      <c r="Q44" s="12">
        <v>692</v>
      </c>
      <c r="R44" s="147">
        <f t="shared" si="2"/>
        <v>31</v>
      </c>
    </row>
    <row r="45" spans="1:18" s="4" customFormat="1" ht="12.75" x14ac:dyDescent="0.2">
      <c r="A45" s="12">
        <v>19</v>
      </c>
      <c r="B45" s="11" t="s">
        <v>82</v>
      </c>
      <c r="C45" s="12">
        <v>5.1100000000000003</v>
      </c>
      <c r="D45" s="16">
        <f>(C45*100)/C27</f>
        <v>93.589743589743605</v>
      </c>
      <c r="E45" s="12">
        <v>4</v>
      </c>
      <c r="F45" s="12">
        <v>8</v>
      </c>
      <c r="G45" s="12">
        <v>8</v>
      </c>
      <c r="H45" s="12">
        <v>116</v>
      </c>
      <c r="I45" s="12">
        <v>206</v>
      </c>
      <c r="J45" s="12">
        <v>49.5</v>
      </c>
      <c r="K45" s="14">
        <f t="shared" si="1"/>
        <v>2.5294500000000002</v>
      </c>
      <c r="L45" s="16">
        <f>(K45*100)/K27</f>
        <v>94.160412757973731</v>
      </c>
      <c r="M45" s="12">
        <v>4</v>
      </c>
      <c r="N45" s="12">
        <v>4.87</v>
      </c>
      <c r="O45" s="14">
        <v>20</v>
      </c>
      <c r="P45" s="12">
        <v>5</v>
      </c>
      <c r="Q45" s="12">
        <v>677</v>
      </c>
      <c r="R45" s="147">
        <f t="shared" si="2"/>
        <v>29</v>
      </c>
    </row>
    <row r="46" spans="1:18" s="4" customFormat="1" ht="12.75" x14ac:dyDescent="0.2">
      <c r="A46" s="12">
        <v>20</v>
      </c>
      <c r="B46" s="11" t="s">
        <v>83</v>
      </c>
      <c r="C46" s="12">
        <v>5.77</v>
      </c>
      <c r="D46" s="16">
        <f>(C46*100)/C27</f>
        <v>105.67765567765568</v>
      </c>
      <c r="E46" s="12">
        <v>6</v>
      </c>
      <c r="F46" s="12">
        <v>8</v>
      </c>
      <c r="G46" s="12">
        <v>8</v>
      </c>
      <c r="H46" s="12">
        <v>109</v>
      </c>
      <c r="I46" s="12">
        <v>204</v>
      </c>
      <c r="J46" s="17">
        <v>48</v>
      </c>
      <c r="K46" s="14">
        <f t="shared" si="1"/>
        <v>2.7695999999999996</v>
      </c>
      <c r="L46" s="16">
        <f>(K46*100)/K27</f>
        <v>103.10015188063967</v>
      </c>
      <c r="M46" s="12">
        <v>5</v>
      </c>
      <c r="N46" s="14">
        <v>4.5</v>
      </c>
      <c r="O46" s="14">
        <v>21</v>
      </c>
      <c r="P46" s="12">
        <v>6</v>
      </c>
      <c r="Q46" s="12">
        <v>688</v>
      </c>
      <c r="R46" s="147">
        <f t="shared" si="2"/>
        <v>33</v>
      </c>
    </row>
    <row r="47" spans="1:18" s="4" customFormat="1" ht="12.75" x14ac:dyDescent="0.2">
      <c r="A47" s="12">
        <v>21</v>
      </c>
      <c r="B47" s="11" t="s">
        <v>84</v>
      </c>
      <c r="C47" s="14">
        <v>4.4000000000000004</v>
      </c>
      <c r="D47" s="16">
        <f>(C47*100)/C27</f>
        <v>80.586080586080598</v>
      </c>
      <c r="E47" s="12">
        <v>3</v>
      </c>
      <c r="F47" s="12">
        <v>4</v>
      </c>
      <c r="G47" s="12">
        <v>8</v>
      </c>
      <c r="H47" s="12">
        <v>110</v>
      </c>
      <c r="I47" s="12">
        <v>205</v>
      </c>
      <c r="J47" s="12">
        <v>47.9</v>
      </c>
      <c r="K47" s="14">
        <f t="shared" si="1"/>
        <v>2.1076000000000001</v>
      </c>
      <c r="L47" s="16">
        <f>(K47*100)/K27</f>
        <v>78.456773578724793</v>
      </c>
      <c r="M47" s="12">
        <v>3</v>
      </c>
      <c r="N47" s="12">
        <v>5.34</v>
      </c>
      <c r="O47" s="14">
        <v>21.2</v>
      </c>
      <c r="P47" s="12">
        <v>6</v>
      </c>
      <c r="Q47" s="12">
        <v>691</v>
      </c>
      <c r="R47" s="147">
        <f t="shared" si="2"/>
        <v>24</v>
      </c>
    </row>
    <row r="48" spans="1:18" s="4" customFormat="1" ht="12.75" x14ac:dyDescent="0.2">
      <c r="A48" s="12">
        <v>22</v>
      </c>
      <c r="B48" s="11" t="s">
        <v>85</v>
      </c>
      <c r="C48" s="12">
        <v>4.55</v>
      </c>
      <c r="D48" s="16">
        <f>(C48*100)/C27</f>
        <v>83.333333333333329</v>
      </c>
      <c r="E48" s="12">
        <v>3</v>
      </c>
      <c r="F48" s="12">
        <v>6</v>
      </c>
      <c r="G48" s="12">
        <v>8</v>
      </c>
      <c r="H48" s="12">
        <v>109</v>
      </c>
      <c r="I48" s="12">
        <v>205</v>
      </c>
      <c r="J48" s="12">
        <v>46.9</v>
      </c>
      <c r="K48" s="14">
        <f t="shared" si="1"/>
        <v>2.13395</v>
      </c>
      <c r="L48" s="16">
        <f>(K48*100)/K27</f>
        <v>79.437669376693762</v>
      </c>
      <c r="M48" s="12">
        <v>3</v>
      </c>
      <c r="N48" s="12">
        <v>6.2</v>
      </c>
      <c r="O48" s="14">
        <v>20.87</v>
      </c>
      <c r="P48" s="12">
        <v>6</v>
      </c>
      <c r="Q48" s="16">
        <v>690</v>
      </c>
      <c r="R48" s="147">
        <f t="shared" si="2"/>
        <v>26</v>
      </c>
    </row>
    <row r="49" spans="1:18" s="4" customFormat="1" ht="12.75" x14ac:dyDescent="0.2">
      <c r="A49" s="12">
        <v>23</v>
      </c>
      <c r="B49" s="11" t="s">
        <v>86</v>
      </c>
      <c r="C49" s="12">
        <v>4.49</v>
      </c>
      <c r="D49" s="16">
        <f>(C49*100)/C27</f>
        <v>82.234432234432234</v>
      </c>
      <c r="E49" s="12">
        <v>3</v>
      </c>
      <c r="F49" s="12">
        <v>6</v>
      </c>
      <c r="G49" s="12">
        <v>8</v>
      </c>
      <c r="H49" s="12">
        <v>109</v>
      </c>
      <c r="I49" s="12">
        <v>206</v>
      </c>
      <c r="J49" s="12">
        <v>48.4</v>
      </c>
      <c r="K49" s="14">
        <f t="shared" si="1"/>
        <v>2.1731600000000002</v>
      </c>
      <c r="L49" s="16">
        <f>(K49*100)/K27</f>
        <v>80.897286994847974</v>
      </c>
      <c r="M49" s="12">
        <v>3</v>
      </c>
      <c r="N49" s="12">
        <v>5.97</v>
      </c>
      <c r="O49" s="14">
        <v>20.03</v>
      </c>
      <c r="P49" s="12">
        <v>5</v>
      </c>
      <c r="Q49" s="12">
        <v>687</v>
      </c>
      <c r="R49" s="147">
        <f t="shared" si="2"/>
        <v>25</v>
      </c>
    </row>
    <row r="50" spans="1:18" s="4" customFormat="1" ht="12.75" x14ac:dyDescent="0.2">
      <c r="A50" s="12">
        <v>24</v>
      </c>
      <c r="B50" s="11" t="s">
        <v>87</v>
      </c>
      <c r="C50" s="12">
        <v>4.4800000000000004</v>
      </c>
      <c r="D50" s="16">
        <f>(C50*100)/C27</f>
        <v>82.051282051282058</v>
      </c>
      <c r="E50" s="12">
        <v>3</v>
      </c>
      <c r="F50" s="12">
        <v>7</v>
      </c>
      <c r="G50" s="12">
        <v>8</v>
      </c>
      <c r="H50" s="12">
        <v>98</v>
      </c>
      <c r="I50" s="12">
        <v>207</v>
      </c>
      <c r="J50" s="12">
        <v>45.9</v>
      </c>
      <c r="K50" s="14">
        <f t="shared" si="1"/>
        <v>2.0563199999999999</v>
      </c>
      <c r="L50" s="16">
        <f>(K50*100)/K27</f>
        <v>76.54784240150093</v>
      </c>
      <c r="M50" s="12">
        <v>3</v>
      </c>
      <c r="N50" s="12">
        <v>6.59</v>
      </c>
      <c r="O50" s="14">
        <v>21.24</v>
      </c>
      <c r="P50" s="12">
        <v>6</v>
      </c>
      <c r="Q50" s="12">
        <v>685</v>
      </c>
      <c r="R50" s="147">
        <f t="shared" si="2"/>
        <v>27</v>
      </c>
    </row>
    <row r="51" spans="1:18" s="4" customFormat="1" ht="12.75" x14ac:dyDescent="0.2">
      <c r="A51" s="7"/>
      <c r="B51" s="8"/>
      <c r="C51" s="7"/>
      <c r="D51" s="9"/>
      <c r="E51" s="7"/>
      <c r="F51" s="7"/>
      <c r="G51" s="7"/>
      <c r="H51" s="7"/>
      <c r="I51" s="7"/>
      <c r="J51" s="7"/>
      <c r="K51" s="10"/>
      <c r="L51" s="9"/>
      <c r="M51" s="7"/>
      <c r="N51" s="7"/>
      <c r="O51" s="7"/>
      <c r="P51" s="7"/>
      <c r="Q51" s="7"/>
      <c r="R51" s="76"/>
    </row>
    <row r="52" spans="1:18" s="4" customFormat="1" ht="12.75" x14ac:dyDescent="0.2">
      <c r="A52" s="5" t="s">
        <v>216</v>
      </c>
      <c r="R52" s="76"/>
    </row>
    <row r="53" spans="1:18" s="4" customFormat="1" ht="12.75" x14ac:dyDescent="0.2">
      <c r="A53" s="12">
        <v>1</v>
      </c>
      <c r="B53" s="11" t="s">
        <v>38</v>
      </c>
      <c r="C53" s="14">
        <f>(4.93+4.84)/2</f>
        <v>4.8849999999999998</v>
      </c>
      <c r="D53" s="12">
        <v>100</v>
      </c>
      <c r="E53" s="12">
        <v>5</v>
      </c>
      <c r="F53" s="12">
        <v>9</v>
      </c>
      <c r="G53" s="12">
        <v>9</v>
      </c>
      <c r="H53" s="12">
        <f>(153+149)/2</f>
        <v>151</v>
      </c>
      <c r="I53" s="12">
        <v>198</v>
      </c>
      <c r="J53" s="17">
        <v>50</v>
      </c>
      <c r="K53" s="14">
        <f t="shared" si="1"/>
        <v>2.4424999999999999</v>
      </c>
      <c r="L53" s="12">
        <v>100</v>
      </c>
      <c r="M53" s="12">
        <v>5</v>
      </c>
      <c r="N53" s="14">
        <f>(4.82+4.85)/2</f>
        <v>4.835</v>
      </c>
      <c r="O53" s="12">
        <f>(18.41+18.21)/2</f>
        <v>18.310000000000002</v>
      </c>
      <c r="P53" s="12">
        <v>3</v>
      </c>
      <c r="Q53" s="16">
        <v>690</v>
      </c>
      <c r="R53" s="147">
        <f t="shared" si="2"/>
        <v>31</v>
      </c>
    </row>
    <row r="54" spans="1:18" s="4" customFormat="1" ht="12.75" x14ac:dyDescent="0.2">
      <c r="A54" s="12">
        <v>2</v>
      </c>
      <c r="B54" s="11" t="s">
        <v>39</v>
      </c>
      <c r="C54" s="12">
        <v>4.09</v>
      </c>
      <c r="D54" s="16">
        <f>(C54*100)/C53</f>
        <v>83.725690890481062</v>
      </c>
      <c r="E54" s="12">
        <v>3</v>
      </c>
      <c r="F54" s="12">
        <v>9</v>
      </c>
      <c r="G54" s="12">
        <v>9</v>
      </c>
      <c r="H54" s="12">
        <v>137</v>
      </c>
      <c r="I54" s="12">
        <v>198</v>
      </c>
      <c r="J54" s="12">
        <v>49.2</v>
      </c>
      <c r="K54" s="14">
        <f t="shared" si="1"/>
        <v>2.0122800000000001</v>
      </c>
      <c r="L54" s="16">
        <f>(K54*100)/K53</f>
        <v>82.386079836233378</v>
      </c>
      <c r="M54" s="12">
        <v>3</v>
      </c>
      <c r="N54" s="12">
        <v>5.18</v>
      </c>
      <c r="O54" s="12">
        <v>20.07</v>
      </c>
      <c r="P54" s="12">
        <v>5</v>
      </c>
      <c r="Q54" s="12">
        <v>688</v>
      </c>
      <c r="R54" s="147">
        <f t="shared" si="2"/>
        <v>29</v>
      </c>
    </row>
    <row r="55" spans="1:18" s="4" customFormat="1" ht="12.75" x14ac:dyDescent="0.2">
      <c r="A55" s="12">
        <v>3</v>
      </c>
      <c r="B55" s="11" t="s">
        <v>40</v>
      </c>
      <c r="C55" s="12">
        <v>4.12</v>
      </c>
      <c r="D55" s="16">
        <f>(C55*100)/C53</f>
        <v>84.339815762538393</v>
      </c>
      <c r="E55" s="12">
        <v>3</v>
      </c>
      <c r="F55" s="12">
        <v>8</v>
      </c>
      <c r="G55" s="12">
        <v>9</v>
      </c>
      <c r="H55" s="12">
        <v>145</v>
      </c>
      <c r="I55" s="12">
        <v>198</v>
      </c>
      <c r="J55" s="12">
        <v>48.9</v>
      </c>
      <c r="K55" s="14">
        <f t="shared" si="1"/>
        <v>2.0146799999999998</v>
      </c>
      <c r="L55" s="16">
        <f>(K55*100)/K53</f>
        <v>82.484339815762539</v>
      </c>
      <c r="M55" s="12">
        <v>3</v>
      </c>
      <c r="N55" s="12">
        <v>4.91</v>
      </c>
      <c r="O55" s="12">
        <v>21.32</v>
      </c>
      <c r="P55" s="12">
        <v>6</v>
      </c>
      <c r="Q55" s="12">
        <v>689</v>
      </c>
      <c r="R55" s="147">
        <f t="shared" si="2"/>
        <v>29</v>
      </c>
    </row>
    <row r="56" spans="1:18" s="4" customFormat="1" ht="12.75" x14ac:dyDescent="0.2">
      <c r="A56" s="12">
        <v>4</v>
      </c>
      <c r="B56" s="11" t="s">
        <v>72</v>
      </c>
      <c r="C56" s="12">
        <v>3.94</v>
      </c>
      <c r="D56" s="16">
        <f>(C56*100)/C53</f>
        <v>80.655066530194475</v>
      </c>
      <c r="E56" s="12">
        <v>3</v>
      </c>
      <c r="F56" s="12">
        <v>9</v>
      </c>
      <c r="G56" s="12">
        <v>9</v>
      </c>
      <c r="H56" s="12">
        <v>158</v>
      </c>
      <c r="I56" s="12">
        <v>198</v>
      </c>
      <c r="J56" s="12">
        <v>49.4</v>
      </c>
      <c r="K56" s="14">
        <f t="shared" si="1"/>
        <v>1.9463599999999999</v>
      </c>
      <c r="L56" s="16">
        <f>(K56*100)/K53</f>
        <v>79.687205731832137</v>
      </c>
      <c r="M56" s="12">
        <v>3</v>
      </c>
      <c r="N56" s="12">
        <v>4.62</v>
      </c>
      <c r="O56" s="12">
        <v>20.260000000000002</v>
      </c>
      <c r="P56" s="12">
        <v>5</v>
      </c>
      <c r="Q56" s="12">
        <v>682</v>
      </c>
      <c r="R56" s="147">
        <f t="shared" si="2"/>
        <v>29</v>
      </c>
    </row>
    <row r="57" spans="1:18" s="4" customFormat="1" ht="12.75" x14ac:dyDescent="0.2">
      <c r="A57" s="12">
        <v>5</v>
      </c>
      <c r="B57" s="11" t="s">
        <v>73</v>
      </c>
      <c r="C57" s="12">
        <v>4.68</v>
      </c>
      <c r="D57" s="16">
        <f>(C57*100)/C53</f>
        <v>95.803480040941665</v>
      </c>
      <c r="E57" s="12">
        <v>5</v>
      </c>
      <c r="F57" s="12">
        <v>9</v>
      </c>
      <c r="G57" s="12">
        <v>9</v>
      </c>
      <c r="H57" s="12">
        <v>150</v>
      </c>
      <c r="I57" s="12">
        <v>198</v>
      </c>
      <c r="J57" s="12">
        <v>46.4</v>
      </c>
      <c r="K57" s="14">
        <f t="shared" si="1"/>
        <v>2.1715199999999997</v>
      </c>
      <c r="L57" s="16">
        <f>(K57*100)/K53</f>
        <v>88.905629477993841</v>
      </c>
      <c r="M57" s="12">
        <v>4</v>
      </c>
      <c r="N57" s="12">
        <v>4.82</v>
      </c>
      <c r="O57" s="12">
        <v>21.99</v>
      </c>
      <c r="P57" s="12">
        <v>7</v>
      </c>
      <c r="Q57" s="16">
        <v>700</v>
      </c>
      <c r="R57" s="147">
        <f t="shared" si="2"/>
        <v>34</v>
      </c>
    </row>
    <row r="58" spans="1:18" s="4" customFormat="1" ht="12.75" x14ac:dyDescent="0.2">
      <c r="A58" s="12">
        <v>6</v>
      </c>
      <c r="B58" s="11" t="s">
        <v>74</v>
      </c>
      <c r="C58" s="12">
        <v>4.08</v>
      </c>
      <c r="D58" s="16">
        <f>(C58*100)/C53</f>
        <v>83.520982599795289</v>
      </c>
      <c r="E58" s="12">
        <v>3</v>
      </c>
      <c r="F58" s="12">
        <v>9</v>
      </c>
      <c r="G58" s="12">
        <v>9</v>
      </c>
      <c r="H58" s="12">
        <v>142</v>
      </c>
      <c r="I58" s="12">
        <v>198</v>
      </c>
      <c r="J58" s="12">
        <v>50.1</v>
      </c>
      <c r="K58" s="14">
        <f t="shared" si="1"/>
        <v>2.0440800000000001</v>
      </c>
      <c r="L58" s="16">
        <f>(K58*100)/K53</f>
        <v>83.68802456499489</v>
      </c>
      <c r="M58" s="12">
        <v>3</v>
      </c>
      <c r="N58" s="12">
        <v>4.53</v>
      </c>
      <c r="O58" s="12">
        <v>18.010000000000002</v>
      </c>
      <c r="P58" s="12">
        <v>3</v>
      </c>
      <c r="Q58" s="12">
        <v>687</v>
      </c>
      <c r="R58" s="147">
        <f t="shared" si="2"/>
        <v>27</v>
      </c>
    </row>
    <row r="59" spans="1:18" s="4" customFormat="1" ht="12.75" x14ac:dyDescent="0.2">
      <c r="A59" s="12">
        <v>7</v>
      </c>
      <c r="B59" s="11" t="s">
        <v>34</v>
      </c>
      <c r="C59" s="12">
        <v>3.88</v>
      </c>
      <c r="D59" s="16">
        <f>(C59*100)/C53</f>
        <v>79.42681678607984</v>
      </c>
      <c r="E59" s="12">
        <v>3</v>
      </c>
      <c r="F59" s="12">
        <v>9</v>
      </c>
      <c r="G59" s="12">
        <v>9</v>
      </c>
      <c r="H59" s="12">
        <v>140</v>
      </c>
      <c r="I59" s="12">
        <v>198</v>
      </c>
      <c r="J59" s="17">
        <v>48</v>
      </c>
      <c r="K59" s="14">
        <f t="shared" si="1"/>
        <v>1.8624000000000001</v>
      </c>
      <c r="L59" s="16">
        <f>(K59*100)/K53</f>
        <v>76.249744114636655</v>
      </c>
      <c r="M59" s="12">
        <v>3</v>
      </c>
      <c r="N59" s="12">
        <v>4.66</v>
      </c>
      <c r="O59" s="12">
        <v>21.25</v>
      </c>
      <c r="P59" s="12">
        <v>6</v>
      </c>
      <c r="Q59" s="12">
        <v>694</v>
      </c>
      <c r="R59" s="147">
        <f t="shared" si="2"/>
        <v>30</v>
      </c>
    </row>
    <row r="60" spans="1:18" s="4" customFormat="1" ht="12.75" x14ac:dyDescent="0.2">
      <c r="A60" s="12">
        <v>8</v>
      </c>
      <c r="B60" s="11" t="s">
        <v>35</v>
      </c>
      <c r="C60" s="14">
        <v>3.6</v>
      </c>
      <c r="D60" s="16">
        <f>(C60*100)/C53</f>
        <v>73.694984646878197</v>
      </c>
      <c r="E60" s="12">
        <v>2</v>
      </c>
      <c r="F60" s="12">
        <v>9</v>
      </c>
      <c r="G60" s="12">
        <v>9</v>
      </c>
      <c r="H60" s="12">
        <v>145</v>
      </c>
      <c r="I60" s="12">
        <v>198</v>
      </c>
      <c r="J60" s="12">
        <v>47.7</v>
      </c>
      <c r="K60" s="14">
        <f t="shared" si="1"/>
        <v>1.7172000000000003</v>
      </c>
      <c r="L60" s="16">
        <f>(K60*100)/K53</f>
        <v>70.305015353121817</v>
      </c>
      <c r="M60" s="12">
        <v>2</v>
      </c>
      <c r="N60" s="12">
        <v>4.63</v>
      </c>
      <c r="O60" s="12">
        <v>19.920000000000002</v>
      </c>
      <c r="P60" s="12">
        <v>5</v>
      </c>
      <c r="Q60" s="16">
        <v>690</v>
      </c>
      <c r="R60" s="147">
        <f t="shared" si="2"/>
        <v>27</v>
      </c>
    </row>
    <row r="61" spans="1:18" s="4" customFormat="1" ht="12.75" x14ac:dyDescent="0.2">
      <c r="A61" s="12">
        <v>9</v>
      </c>
      <c r="B61" s="11" t="s">
        <v>75</v>
      </c>
      <c r="C61" s="12">
        <v>4.53</v>
      </c>
      <c r="D61" s="16">
        <f>(C61*100)/C53</f>
        <v>92.732855680655064</v>
      </c>
      <c r="E61" s="12">
        <v>4</v>
      </c>
      <c r="F61" s="12">
        <v>9</v>
      </c>
      <c r="G61" s="12">
        <v>9</v>
      </c>
      <c r="H61" s="12">
        <v>144</v>
      </c>
      <c r="I61" s="12">
        <v>198</v>
      </c>
      <c r="J61" s="12">
        <v>48.6</v>
      </c>
      <c r="K61" s="14">
        <f t="shared" si="1"/>
        <v>2.2015800000000003</v>
      </c>
      <c r="L61" s="16">
        <f>(K61*100)/K53</f>
        <v>90.136335721596751</v>
      </c>
      <c r="M61" s="12">
        <v>4</v>
      </c>
      <c r="N61" s="12">
        <v>4.96</v>
      </c>
      <c r="O61" s="12">
        <v>21.63</v>
      </c>
      <c r="P61" s="12">
        <v>7</v>
      </c>
      <c r="Q61" s="12">
        <v>677</v>
      </c>
      <c r="R61" s="147">
        <f t="shared" si="2"/>
        <v>33</v>
      </c>
    </row>
    <row r="62" spans="1:18" s="4" customFormat="1" ht="12.75" x14ac:dyDescent="0.2">
      <c r="A62" s="12">
        <v>10</v>
      </c>
      <c r="B62" s="11" t="s">
        <v>76</v>
      </c>
      <c r="C62" s="14">
        <v>4.5</v>
      </c>
      <c r="D62" s="16">
        <f>(C62*100)/C53</f>
        <v>92.118730808597746</v>
      </c>
      <c r="E62" s="12">
        <v>4</v>
      </c>
      <c r="F62" s="12">
        <v>9</v>
      </c>
      <c r="G62" s="12">
        <v>9</v>
      </c>
      <c r="H62" s="12">
        <v>142</v>
      </c>
      <c r="I62" s="12">
        <v>200</v>
      </c>
      <c r="J62" s="12">
        <v>49.6</v>
      </c>
      <c r="K62" s="14">
        <f t="shared" si="1"/>
        <v>2.2320000000000002</v>
      </c>
      <c r="L62" s="16">
        <f>(K62*100)/K53</f>
        <v>91.381780962128971</v>
      </c>
      <c r="M62" s="12">
        <v>4</v>
      </c>
      <c r="N62" s="12">
        <v>4.37</v>
      </c>
      <c r="O62" s="12">
        <v>19.89</v>
      </c>
      <c r="P62" s="12">
        <v>5</v>
      </c>
      <c r="Q62" s="12">
        <v>679</v>
      </c>
      <c r="R62" s="147">
        <f t="shared" si="2"/>
        <v>31</v>
      </c>
    </row>
    <row r="63" spans="1:18" s="4" customFormat="1" ht="12.75" x14ac:dyDescent="0.2">
      <c r="A63" s="12">
        <v>11</v>
      </c>
      <c r="B63" s="11" t="s">
        <v>41</v>
      </c>
      <c r="C63" s="12">
        <v>5.01</v>
      </c>
      <c r="D63" s="16">
        <f>(C63*100)/C53</f>
        <v>102.55885363357217</v>
      </c>
      <c r="E63" s="12">
        <v>5</v>
      </c>
      <c r="F63" s="12">
        <v>9</v>
      </c>
      <c r="G63" s="12">
        <v>9</v>
      </c>
      <c r="H63" s="12">
        <v>158</v>
      </c>
      <c r="I63" s="12">
        <v>198</v>
      </c>
      <c r="J63" s="12">
        <v>50.3</v>
      </c>
      <c r="K63" s="14">
        <f t="shared" si="1"/>
        <v>2.5200299999999998</v>
      </c>
      <c r="L63" s="16">
        <f>(K63*100)/K53</f>
        <v>103.17420675537359</v>
      </c>
      <c r="M63" s="12">
        <v>5</v>
      </c>
      <c r="N63" s="14">
        <v>3.9</v>
      </c>
      <c r="O63" s="12">
        <v>17.82</v>
      </c>
      <c r="P63" s="12">
        <v>2</v>
      </c>
      <c r="Q63" s="12">
        <v>679</v>
      </c>
      <c r="R63" s="147">
        <f t="shared" si="2"/>
        <v>30</v>
      </c>
    </row>
    <row r="64" spans="1:18" s="4" customFormat="1" ht="12.75" x14ac:dyDescent="0.2">
      <c r="A64" s="12">
        <v>12</v>
      </c>
      <c r="B64" s="11" t="s">
        <v>42</v>
      </c>
      <c r="C64" s="12">
        <v>3.87</v>
      </c>
      <c r="D64" s="16">
        <f>(C64*100)/C53</f>
        <v>79.222108495394068</v>
      </c>
      <c r="E64" s="12">
        <v>3</v>
      </c>
      <c r="F64" s="12">
        <v>9</v>
      </c>
      <c r="G64" s="12">
        <v>9</v>
      </c>
      <c r="H64" s="12">
        <v>147</v>
      </c>
      <c r="I64" s="12">
        <v>200</v>
      </c>
      <c r="J64" s="12">
        <v>48.1</v>
      </c>
      <c r="K64" s="14">
        <f t="shared" si="1"/>
        <v>1.8614700000000002</v>
      </c>
      <c r="L64" s="16">
        <f>(K64*100)/K53</f>
        <v>76.211668372569108</v>
      </c>
      <c r="M64" s="12">
        <v>3</v>
      </c>
      <c r="N64" s="12">
        <v>4.78</v>
      </c>
      <c r="O64" s="12">
        <v>21.73</v>
      </c>
      <c r="P64" s="12">
        <v>7</v>
      </c>
      <c r="Q64" s="12">
        <v>687</v>
      </c>
      <c r="R64" s="147">
        <f t="shared" si="2"/>
        <v>31</v>
      </c>
    </row>
    <row r="65" spans="1:18" s="4" customFormat="1" ht="12.75" x14ac:dyDescent="0.2">
      <c r="A65" s="12">
        <v>13</v>
      </c>
      <c r="B65" s="11" t="s">
        <v>43</v>
      </c>
      <c r="C65" s="12">
        <v>4.43</v>
      </c>
      <c r="D65" s="16">
        <f>(C65*100)/C53</f>
        <v>90.685772773797339</v>
      </c>
      <c r="E65" s="12">
        <v>4</v>
      </c>
      <c r="F65" s="12">
        <v>9</v>
      </c>
      <c r="G65" s="12">
        <v>9</v>
      </c>
      <c r="H65" s="12">
        <v>159</v>
      </c>
      <c r="I65" s="12">
        <v>198</v>
      </c>
      <c r="J65" s="12">
        <v>48.2</v>
      </c>
      <c r="K65" s="14">
        <f t="shared" si="1"/>
        <v>2.1352600000000002</v>
      </c>
      <c r="L65" s="16">
        <f>(K65*100)/K53</f>
        <v>87.42108495394065</v>
      </c>
      <c r="M65" s="12">
        <v>4</v>
      </c>
      <c r="N65" s="12">
        <v>4.57</v>
      </c>
      <c r="O65" s="12">
        <v>21.69</v>
      </c>
      <c r="P65" s="12">
        <v>7</v>
      </c>
      <c r="Q65" s="12">
        <v>687</v>
      </c>
      <c r="R65" s="147">
        <f t="shared" si="2"/>
        <v>33</v>
      </c>
    </row>
    <row r="66" spans="1:18" s="4" customFormat="1" ht="12.75" x14ac:dyDescent="0.2">
      <c r="A66" s="12">
        <v>14</v>
      </c>
      <c r="B66" s="11" t="s">
        <v>77</v>
      </c>
      <c r="C66" s="12">
        <v>4.33</v>
      </c>
      <c r="D66" s="16">
        <f>(C66*100)/C53</f>
        <v>88.638689866939615</v>
      </c>
      <c r="E66" s="12">
        <v>4</v>
      </c>
      <c r="F66" s="12">
        <v>9</v>
      </c>
      <c r="G66" s="12">
        <v>9</v>
      </c>
      <c r="H66" s="12">
        <v>144</v>
      </c>
      <c r="I66" s="12">
        <v>200</v>
      </c>
      <c r="J66" s="12">
        <v>48.6</v>
      </c>
      <c r="K66" s="14">
        <f t="shared" si="1"/>
        <v>2.1043800000000004</v>
      </c>
      <c r="L66" s="16">
        <f>(K66*100)/K53</f>
        <v>86.156806550665323</v>
      </c>
      <c r="M66" s="12">
        <v>4</v>
      </c>
      <c r="N66" s="12">
        <v>4.58</v>
      </c>
      <c r="O66" s="12">
        <v>20.51</v>
      </c>
      <c r="P66" s="12">
        <v>5</v>
      </c>
      <c r="Q66" s="16">
        <v>680</v>
      </c>
      <c r="R66" s="147">
        <f t="shared" si="2"/>
        <v>31</v>
      </c>
    </row>
    <row r="67" spans="1:18" s="4" customFormat="1" ht="12.75" x14ac:dyDescent="0.2">
      <c r="A67" s="12">
        <v>15</v>
      </c>
      <c r="B67" s="11" t="s">
        <v>78</v>
      </c>
      <c r="C67" s="12">
        <v>4.9400000000000004</v>
      </c>
      <c r="D67" s="16">
        <f>(C67*100)/C53</f>
        <v>101.12589559877176</v>
      </c>
      <c r="E67" s="12">
        <v>5</v>
      </c>
      <c r="F67" s="12">
        <v>9</v>
      </c>
      <c r="G67" s="12">
        <v>9</v>
      </c>
      <c r="H67" s="12">
        <v>159</v>
      </c>
      <c r="I67" s="12">
        <v>200</v>
      </c>
      <c r="J67" s="17">
        <v>49</v>
      </c>
      <c r="K67" s="14">
        <f t="shared" si="1"/>
        <v>2.4206000000000003</v>
      </c>
      <c r="L67" s="16">
        <f>(K67*100)/K53</f>
        <v>99.103377686796335</v>
      </c>
      <c r="M67" s="12">
        <v>5</v>
      </c>
      <c r="N67" s="12">
        <v>4.74</v>
      </c>
      <c r="O67" s="12">
        <v>19.53</v>
      </c>
      <c r="P67" s="12">
        <v>4</v>
      </c>
      <c r="Q67" s="12">
        <v>688</v>
      </c>
      <c r="R67" s="147">
        <f t="shared" si="2"/>
        <v>32</v>
      </c>
    </row>
    <row r="68" spans="1:18" s="4" customFormat="1" ht="12.75" x14ac:dyDescent="0.2">
      <c r="A68" s="12">
        <v>16</v>
      </c>
      <c r="B68" s="11" t="s">
        <v>79</v>
      </c>
      <c r="C68" s="12">
        <v>5.05</v>
      </c>
      <c r="D68" s="16">
        <f>(C68*100)/C53</f>
        <v>103.37768679631526</v>
      </c>
      <c r="E68" s="12">
        <v>5</v>
      </c>
      <c r="F68" s="12">
        <v>9</v>
      </c>
      <c r="G68" s="12">
        <v>9</v>
      </c>
      <c r="H68" s="12">
        <v>160</v>
      </c>
      <c r="I68" s="12">
        <v>200</v>
      </c>
      <c r="J68" s="12">
        <v>49.9</v>
      </c>
      <c r="K68" s="14">
        <f t="shared" si="1"/>
        <v>2.5199499999999997</v>
      </c>
      <c r="L68" s="16">
        <f>(K68*100)/K53</f>
        <v>103.17093142272262</v>
      </c>
      <c r="M68" s="12">
        <v>5</v>
      </c>
      <c r="N68" s="12">
        <v>4.3499999999999996</v>
      </c>
      <c r="O68" s="12">
        <v>18.77</v>
      </c>
      <c r="P68" s="12">
        <v>3</v>
      </c>
      <c r="Q68" s="12">
        <v>684</v>
      </c>
      <c r="R68" s="147">
        <f t="shared" si="2"/>
        <v>31</v>
      </c>
    </row>
    <row r="69" spans="1:18" s="4" customFormat="1" ht="12.75" x14ac:dyDescent="0.2">
      <c r="A69" s="12">
        <v>17</v>
      </c>
      <c r="B69" s="11" t="s">
        <v>80</v>
      </c>
      <c r="C69" s="12">
        <v>4.2699999999999996</v>
      </c>
      <c r="D69" s="16">
        <f>(C69*100)/C53</f>
        <v>87.410440122824966</v>
      </c>
      <c r="E69" s="12">
        <v>4</v>
      </c>
      <c r="F69" s="12">
        <v>9</v>
      </c>
      <c r="G69" s="12">
        <v>9</v>
      </c>
      <c r="H69" s="12">
        <v>141</v>
      </c>
      <c r="I69" s="12">
        <v>200</v>
      </c>
      <c r="J69" s="12">
        <v>47.8</v>
      </c>
      <c r="K69" s="14">
        <f t="shared" si="1"/>
        <v>2.0410599999999999</v>
      </c>
      <c r="L69" s="16">
        <f>(K69*100)/K53</f>
        <v>83.564380757420679</v>
      </c>
      <c r="M69" s="12">
        <v>3</v>
      </c>
      <c r="N69" s="12">
        <v>4.92</v>
      </c>
      <c r="O69" s="12">
        <v>19.649999999999999</v>
      </c>
      <c r="P69" s="12">
        <v>4</v>
      </c>
      <c r="Q69" s="12">
        <v>686</v>
      </c>
      <c r="R69" s="147">
        <f t="shared" si="2"/>
        <v>29</v>
      </c>
    </row>
    <row r="70" spans="1:18" s="4" customFormat="1" ht="12.75" x14ac:dyDescent="0.2">
      <c r="A70" s="12">
        <v>18</v>
      </c>
      <c r="B70" s="11" t="s">
        <v>81</v>
      </c>
      <c r="C70" s="12">
        <v>4.84</v>
      </c>
      <c r="D70" s="16">
        <f>(C70*100)/C53</f>
        <v>99.078812691914024</v>
      </c>
      <c r="E70" s="12">
        <v>5</v>
      </c>
      <c r="F70" s="12">
        <v>9</v>
      </c>
      <c r="G70" s="12">
        <v>9</v>
      </c>
      <c r="H70" s="12">
        <v>147</v>
      </c>
      <c r="I70" s="12">
        <v>198</v>
      </c>
      <c r="J70" s="12">
        <v>48.5</v>
      </c>
      <c r="K70" s="14">
        <f t="shared" si="1"/>
        <v>2.3473999999999999</v>
      </c>
      <c r="L70" s="16">
        <f>(K70*100)/K53</f>
        <v>96.106448311156598</v>
      </c>
      <c r="M70" s="12">
        <v>5</v>
      </c>
      <c r="N70" s="12">
        <v>4.3099999999999996</v>
      </c>
      <c r="O70" s="12">
        <v>20.63</v>
      </c>
      <c r="P70" s="12">
        <v>6</v>
      </c>
      <c r="Q70" s="12">
        <v>686</v>
      </c>
      <c r="R70" s="147">
        <f t="shared" si="2"/>
        <v>34</v>
      </c>
    </row>
    <row r="71" spans="1:18" s="4" customFormat="1" ht="12.75" x14ac:dyDescent="0.2">
      <c r="A71" s="12">
        <v>19</v>
      </c>
      <c r="B71" s="11" t="s">
        <v>82</v>
      </c>
      <c r="C71" s="12">
        <v>4.97</v>
      </c>
      <c r="D71" s="16">
        <f>(C71*100)/C53</f>
        <v>101.74002047082908</v>
      </c>
      <c r="E71" s="12">
        <v>5</v>
      </c>
      <c r="F71" s="12">
        <v>9</v>
      </c>
      <c r="G71" s="12">
        <v>9</v>
      </c>
      <c r="H71" s="12">
        <v>160</v>
      </c>
      <c r="I71" s="12">
        <v>198</v>
      </c>
      <c r="J71" s="12">
        <v>50.5</v>
      </c>
      <c r="K71" s="14">
        <f t="shared" si="1"/>
        <v>2.5098499999999997</v>
      </c>
      <c r="L71" s="16">
        <f>(K71*100)/K53</f>
        <v>102.75742067553735</v>
      </c>
      <c r="M71" s="12">
        <v>5</v>
      </c>
      <c r="N71" s="12">
        <v>4.22</v>
      </c>
      <c r="O71" s="12">
        <v>17.64</v>
      </c>
      <c r="P71" s="12">
        <v>2</v>
      </c>
      <c r="Q71" s="12">
        <v>673</v>
      </c>
      <c r="R71" s="147">
        <f t="shared" si="2"/>
        <v>30</v>
      </c>
    </row>
    <row r="72" spans="1:18" s="4" customFormat="1" ht="12.75" x14ac:dyDescent="0.2">
      <c r="A72" s="12">
        <v>20</v>
      </c>
      <c r="B72" s="11" t="s">
        <v>83</v>
      </c>
      <c r="C72" s="12">
        <v>4.68</v>
      </c>
      <c r="D72" s="16">
        <f>(C72*100)/C53</f>
        <v>95.803480040941665</v>
      </c>
      <c r="E72" s="12">
        <v>5</v>
      </c>
      <c r="F72" s="12">
        <v>8</v>
      </c>
      <c r="G72" s="12">
        <v>9</v>
      </c>
      <c r="H72" s="12">
        <v>156</v>
      </c>
      <c r="I72" s="12">
        <v>200</v>
      </c>
      <c r="J72" s="12">
        <v>48.8</v>
      </c>
      <c r="K72" s="14">
        <f t="shared" si="1"/>
        <v>2.2838399999999996</v>
      </c>
      <c r="L72" s="16">
        <f>(K72*100)/K53</f>
        <v>93.504196519959052</v>
      </c>
      <c r="M72" s="12">
        <v>4</v>
      </c>
      <c r="N72" s="12">
        <v>4.1399999999999997</v>
      </c>
      <c r="O72" s="12">
        <v>21.03</v>
      </c>
      <c r="P72" s="12">
        <v>6</v>
      </c>
      <c r="Q72" s="12">
        <v>674</v>
      </c>
      <c r="R72" s="147">
        <f t="shared" si="2"/>
        <v>32</v>
      </c>
    </row>
    <row r="73" spans="1:18" s="4" customFormat="1" ht="12.75" x14ac:dyDescent="0.2">
      <c r="A73" s="12">
        <v>21</v>
      </c>
      <c r="B73" s="11" t="s">
        <v>84</v>
      </c>
      <c r="C73" s="12">
        <v>4.71</v>
      </c>
      <c r="D73" s="16">
        <f>(C73*100)/C53</f>
        <v>96.417604912998982</v>
      </c>
      <c r="E73" s="12">
        <v>5</v>
      </c>
      <c r="F73" s="12">
        <v>9</v>
      </c>
      <c r="G73" s="12">
        <v>9</v>
      </c>
      <c r="H73" s="12">
        <v>149</v>
      </c>
      <c r="I73" s="12">
        <v>198</v>
      </c>
      <c r="J73" s="12">
        <v>48.8</v>
      </c>
      <c r="K73" s="14">
        <f t="shared" si="1"/>
        <v>2.2984799999999996</v>
      </c>
      <c r="L73" s="16">
        <f>(K73*100)/K53</f>
        <v>94.103582395086988</v>
      </c>
      <c r="M73" s="12">
        <v>4</v>
      </c>
      <c r="N73" s="14">
        <v>4.5</v>
      </c>
      <c r="O73" s="12">
        <v>21.43</v>
      </c>
      <c r="P73" s="12">
        <v>6</v>
      </c>
      <c r="Q73" s="12">
        <v>684</v>
      </c>
      <c r="R73" s="147">
        <f t="shared" si="2"/>
        <v>33</v>
      </c>
    </row>
    <row r="74" spans="1:18" s="4" customFormat="1" ht="12.75" x14ac:dyDescent="0.2">
      <c r="A74" s="12">
        <v>22</v>
      </c>
      <c r="B74" s="11" t="s">
        <v>85</v>
      </c>
      <c r="C74" s="12">
        <v>3.95</v>
      </c>
      <c r="D74" s="16">
        <f>(C74*100)/C53</f>
        <v>80.859774820880247</v>
      </c>
      <c r="E74" s="12">
        <v>3</v>
      </c>
      <c r="F74" s="12">
        <v>8</v>
      </c>
      <c r="G74" s="12">
        <v>9</v>
      </c>
      <c r="H74" s="12">
        <v>150</v>
      </c>
      <c r="I74" s="12">
        <v>198</v>
      </c>
      <c r="J74" s="12">
        <v>48.5</v>
      </c>
      <c r="K74" s="14">
        <f t="shared" si="1"/>
        <v>1.9157500000000001</v>
      </c>
      <c r="L74" s="16">
        <f>(K74*100)/K53</f>
        <v>78.433981576253842</v>
      </c>
      <c r="M74" s="12">
        <v>3</v>
      </c>
      <c r="N74" s="12">
        <v>5.23</v>
      </c>
      <c r="O74" s="12">
        <v>20.91</v>
      </c>
      <c r="P74" s="12">
        <v>6</v>
      </c>
      <c r="Q74" s="12">
        <v>689</v>
      </c>
      <c r="R74" s="147">
        <f t="shared" si="2"/>
        <v>29</v>
      </c>
    </row>
    <row r="75" spans="1:18" s="4" customFormat="1" ht="12.75" x14ac:dyDescent="0.2">
      <c r="A75" s="12">
        <v>23</v>
      </c>
      <c r="B75" s="11" t="s">
        <v>86</v>
      </c>
      <c r="C75" s="12">
        <v>4.18</v>
      </c>
      <c r="D75" s="16">
        <f>(C75*100)/C53</f>
        <v>85.568065506653028</v>
      </c>
      <c r="E75" s="12">
        <v>4</v>
      </c>
      <c r="F75" s="12">
        <v>9</v>
      </c>
      <c r="G75" s="12">
        <v>9</v>
      </c>
      <c r="H75" s="12">
        <v>145</v>
      </c>
      <c r="I75" s="12">
        <v>198</v>
      </c>
      <c r="J75" s="12">
        <v>50.1</v>
      </c>
      <c r="K75" s="14">
        <f t="shared" si="1"/>
        <v>2.0941799999999997</v>
      </c>
      <c r="L75" s="16">
        <f>(K75*100)/K53</f>
        <v>85.739201637666326</v>
      </c>
      <c r="M75" s="12">
        <v>4</v>
      </c>
      <c r="N75" s="12">
        <v>4.66</v>
      </c>
      <c r="O75" s="12">
        <v>17.239999999999998</v>
      </c>
      <c r="P75" s="12">
        <v>2</v>
      </c>
      <c r="Q75" s="12">
        <v>679</v>
      </c>
      <c r="R75" s="147">
        <f t="shared" si="2"/>
        <v>28</v>
      </c>
    </row>
    <row r="76" spans="1:18" s="4" customFormat="1" ht="12.75" x14ac:dyDescent="0.2">
      <c r="A76" s="12">
        <v>24</v>
      </c>
      <c r="B76" s="11" t="s">
        <v>87</v>
      </c>
      <c r="C76" s="14">
        <v>4.5999999999999996</v>
      </c>
      <c r="D76" s="16">
        <f>(C76*100)/C53</f>
        <v>94.165813715455471</v>
      </c>
      <c r="E76" s="12">
        <v>4</v>
      </c>
      <c r="F76" s="12">
        <v>9</v>
      </c>
      <c r="G76" s="12">
        <v>9</v>
      </c>
      <c r="H76" s="12">
        <v>148</v>
      </c>
      <c r="I76" s="12">
        <v>198</v>
      </c>
      <c r="J76" s="12">
        <v>48.7</v>
      </c>
      <c r="K76" s="14">
        <f t="shared" si="1"/>
        <v>2.2401999999999997</v>
      </c>
      <c r="L76" s="16">
        <f>(K76*100)/K53</f>
        <v>91.717502558853624</v>
      </c>
      <c r="M76" s="12">
        <v>4</v>
      </c>
      <c r="N76" s="12">
        <v>4.46</v>
      </c>
      <c r="O76" s="12">
        <v>20.03</v>
      </c>
      <c r="P76" s="12">
        <v>5</v>
      </c>
      <c r="Q76" s="16">
        <v>690</v>
      </c>
      <c r="R76" s="147">
        <f t="shared" si="2"/>
        <v>31</v>
      </c>
    </row>
    <row r="77" spans="1:18" s="4" customFormat="1" ht="12.75" x14ac:dyDescent="0.2">
      <c r="A77" s="7"/>
      <c r="B77" s="8"/>
      <c r="C77" s="10"/>
      <c r="D77" s="9"/>
      <c r="E77" s="7"/>
      <c r="F77" s="7"/>
      <c r="G77" s="7"/>
      <c r="H77" s="7"/>
      <c r="I77" s="7"/>
      <c r="J77" s="7"/>
      <c r="K77" s="10"/>
      <c r="L77" s="9"/>
      <c r="M77" s="7"/>
      <c r="N77" s="7"/>
      <c r="O77" s="7"/>
      <c r="P77" s="7"/>
      <c r="Q77" s="9"/>
      <c r="R77" s="76"/>
    </row>
    <row r="78" spans="1:18" s="4" customFormat="1" ht="12.75" x14ac:dyDescent="0.2">
      <c r="A78" s="5" t="s">
        <v>117</v>
      </c>
      <c r="R78" s="76"/>
    </row>
    <row r="79" spans="1:18" s="4" customFormat="1" ht="12.75" x14ac:dyDescent="0.2">
      <c r="A79" s="12">
        <v>1</v>
      </c>
      <c r="B79" s="11" t="s">
        <v>38</v>
      </c>
      <c r="C79" s="14">
        <f>(4.92+5.24)/2</f>
        <v>5.08</v>
      </c>
      <c r="D79" s="12">
        <v>100</v>
      </c>
      <c r="E79" s="12">
        <v>5</v>
      </c>
      <c r="F79" s="12">
        <v>7</v>
      </c>
      <c r="G79" s="12">
        <v>9</v>
      </c>
      <c r="H79" s="12">
        <v>121</v>
      </c>
      <c r="I79" s="12">
        <v>212</v>
      </c>
      <c r="J79" s="17">
        <f>(48.6+48.1)/2</f>
        <v>48.35</v>
      </c>
      <c r="K79" s="14">
        <f t="shared" si="1"/>
        <v>2.4561800000000003</v>
      </c>
      <c r="L79" s="12">
        <v>100</v>
      </c>
      <c r="M79" s="12">
        <v>5</v>
      </c>
      <c r="N79" s="12">
        <f>(6.8+7)/2</f>
        <v>6.9</v>
      </c>
      <c r="O79" s="14">
        <f>(18.04+19.11)/2</f>
        <v>18.574999999999999</v>
      </c>
      <c r="P79" s="12">
        <v>3</v>
      </c>
      <c r="Q79" s="16">
        <f>(678+679)/2</f>
        <v>678.5</v>
      </c>
      <c r="R79" s="147">
        <f t="shared" si="2"/>
        <v>29</v>
      </c>
    </row>
    <row r="80" spans="1:18" s="4" customFormat="1" ht="12.75" x14ac:dyDescent="0.2">
      <c r="A80" s="12">
        <v>2</v>
      </c>
      <c r="B80" s="11" t="s">
        <v>39</v>
      </c>
      <c r="C80" s="14">
        <v>4.93</v>
      </c>
      <c r="D80" s="16">
        <f>(C80*100)/C79</f>
        <v>97.047244094488192</v>
      </c>
      <c r="E80" s="12">
        <v>5</v>
      </c>
      <c r="F80" s="12">
        <v>6</v>
      </c>
      <c r="G80" s="12">
        <v>9</v>
      </c>
      <c r="H80" s="12">
        <v>116</v>
      </c>
      <c r="I80" s="12">
        <v>212</v>
      </c>
      <c r="J80" s="12">
        <v>47.6</v>
      </c>
      <c r="K80" s="14">
        <f t="shared" si="1"/>
        <v>2.3466800000000001</v>
      </c>
      <c r="L80" s="16">
        <f>(K80*100)/K79</f>
        <v>95.541857681440277</v>
      </c>
      <c r="M80" s="12">
        <v>5</v>
      </c>
      <c r="N80" s="12">
        <v>5.7</v>
      </c>
      <c r="O80" s="14">
        <v>19.329999999999998</v>
      </c>
      <c r="P80" s="12">
        <v>4</v>
      </c>
      <c r="Q80" s="12">
        <v>678</v>
      </c>
      <c r="R80" s="147">
        <f t="shared" si="2"/>
        <v>29</v>
      </c>
    </row>
    <row r="81" spans="1:18" s="4" customFormat="1" ht="12.75" x14ac:dyDescent="0.2">
      <c r="A81" s="12">
        <v>3</v>
      </c>
      <c r="B81" s="11" t="s">
        <v>40</v>
      </c>
      <c r="C81" s="14">
        <v>3.69</v>
      </c>
      <c r="D81" s="16">
        <f>(C81*100)/C79</f>
        <v>72.637795275590548</v>
      </c>
      <c r="E81" s="12">
        <v>2</v>
      </c>
      <c r="F81" s="12">
        <v>5</v>
      </c>
      <c r="G81" s="12">
        <v>8</v>
      </c>
      <c r="H81" s="12">
        <v>115</v>
      </c>
      <c r="I81" s="12">
        <v>212</v>
      </c>
      <c r="J81" s="12">
        <v>46.5</v>
      </c>
      <c r="K81" s="14">
        <f t="shared" si="1"/>
        <v>1.7158500000000001</v>
      </c>
      <c r="L81" s="16">
        <f>(K81*100)/K79</f>
        <v>69.858479427403523</v>
      </c>
      <c r="M81" s="12">
        <v>2</v>
      </c>
      <c r="N81" s="12">
        <v>6.3</v>
      </c>
      <c r="O81" s="14">
        <v>19.690000000000001</v>
      </c>
      <c r="P81" s="12">
        <v>4</v>
      </c>
      <c r="Q81" s="12">
        <v>664</v>
      </c>
      <c r="R81" s="147">
        <f t="shared" si="2"/>
        <v>21</v>
      </c>
    </row>
    <row r="82" spans="1:18" s="4" customFormat="1" ht="12.75" x14ac:dyDescent="0.2">
      <c r="A82" s="12">
        <v>4</v>
      </c>
      <c r="B82" s="11" t="s">
        <v>72</v>
      </c>
      <c r="C82" s="14">
        <v>4.9000000000000004</v>
      </c>
      <c r="D82" s="16">
        <f>(C82*100)/C79</f>
        <v>96.456692913385837</v>
      </c>
      <c r="E82" s="12">
        <v>5</v>
      </c>
      <c r="F82" s="12">
        <v>7</v>
      </c>
      <c r="G82" s="12">
        <v>9</v>
      </c>
      <c r="H82" s="12">
        <v>128</v>
      </c>
      <c r="I82" s="12">
        <v>212</v>
      </c>
      <c r="J82" s="17">
        <v>48</v>
      </c>
      <c r="K82" s="14">
        <f t="shared" si="1"/>
        <v>2.3520000000000003</v>
      </c>
      <c r="L82" s="16">
        <f>(K82*100)/K79</f>
        <v>95.758454184953877</v>
      </c>
      <c r="M82" s="12">
        <v>5</v>
      </c>
      <c r="N82" s="12">
        <v>6.6</v>
      </c>
      <c r="O82" s="14">
        <v>19.07</v>
      </c>
      <c r="P82" s="12">
        <v>4</v>
      </c>
      <c r="Q82" s="12">
        <v>666</v>
      </c>
      <c r="R82" s="147">
        <f t="shared" si="2"/>
        <v>30</v>
      </c>
    </row>
    <row r="83" spans="1:18" s="4" customFormat="1" ht="12.75" x14ac:dyDescent="0.2">
      <c r="A83" s="12">
        <v>5</v>
      </c>
      <c r="B83" s="11" t="s">
        <v>73</v>
      </c>
      <c r="C83" s="12">
        <v>5.08</v>
      </c>
      <c r="D83" s="16">
        <f>(C83*100)/C79</f>
        <v>100</v>
      </c>
      <c r="E83" s="12">
        <v>5</v>
      </c>
      <c r="F83" s="12">
        <v>7</v>
      </c>
      <c r="G83" s="12">
        <v>9</v>
      </c>
      <c r="H83" s="12">
        <v>120</v>
      </c>
      <c r="I83" s="12">
        <v>212</v>
      </c>
      <c r="J83" s="12">
        <v>49.5</v>
      </c>
      <c r="K83" s="14">
        <f t="shared" si="1"/>
        <v>2.5146000000000002</v>
      </c>
      <c r="L83" s="16">
        <f>(K83*100)/K79</f>
        <v>102.37849017580145</v>
      </c>
      <c r="M83" s="12">
        <v>5</v>
      </c>
      <c r="N83" s="12">
        <v>5.3</v>
      </c>
      <c r="O83" s="14">
        <v>18.899999999999999</v>
      </c>
      <c r="P83" s="12">
        <v>4</v>
      </c>
      <c r="Q83" s="12">
        <v>679</v>
      </c>
      <c r="R83" s="147">
        <f t="shared" si="2"/>
        <v>30</v>
      </c>
    </row>
    <row r="84" spans="1:18" s="4" customFormat="1" ht="12.75" x14ac:dyDescent="0.2">
      <c r="A84" s="12">
        <v>6</v>
      </c>
      <c r="B84" s="11" t="s">
        <v>74</v>
      </c>
      <c r="C84" s="12">
        <v>5.0199999999999996</v>
      </c>
      <c r="D84" s="16">
        <f>(C84*100)/C79</f>
        <v>98.81889763779526</v>
      </c>
      <c r="E84" s="12">
        <v>5</v>
      </c>
      <c r="F84" s="12">
        <v>6</v>
      </c>
      <c r="G84" s="12">
        <v>9</v>
      </c>
      <c r="H84" s="12">
        <v>123</v>
      </c>
      <c r="I84" s="12">
        <v>212</v>
      </c>
      <c r="J84" s="17">
        <v>46</v>
      </c>
      <c r="K84" s="14">
        <f t="shared" si="1"/>
        <v>2.3091999999999997</v>
      </c>
      <c r="L84" s="16">
        <f>(K84*100)/K79</f>
        <v>94.015910886009962</v>
      </c>
      <c r="M84" s="12">
        <v>4</v>
      </c>
      <c r="N84" s="12">
        <v>5.6</v>
      </c>
      <c r="O84" s="14">
        <v>20.43</v>
      </c>
      <c r="P84" s="12">
        <v>5</v>
      </c>
      <c r="Q84" s="12">
        <v>684</v>
      </c>
      <c r="R84" s="147">
        <f t="shared" si="2"/>
        <v>29</v>
      </c>
    </row>
    <row r="85" spans="1:18" s="4" customFormat="1" ht="12.75" x14ac:dyDescent="0.2">
      <c r="A85" s="12">
        <v>7</v>
      </c>
      <c r="B85" s="11" t="s">
        <v>34</v>
      </c>
      <c r="C85" s="12">
        <v>4.46</v>
      </c>
      <c r="D85" s="16">
        <f>(C85*100)/C79</f>
        <v>87.795275590551185</v>
      </c>
      <c r="E85" s="12">
        <v>4</v>
      </c>
      <c r="F85" s="12">
        <v>5</v>
      </c>
      <c r="G85" s="12">
        <v>9</v>
      </c>
      <c r="H85" s="12">
        <v>121</v>
      </c>
      <c r="I85" s="12">
        <v>212</v>
      </c>
      <c r="J85" s="12">
        <v>47.4</v>
      </c>
      <c r="K85" s="14">
        <f t="shared" si="1"/>
        <v>2.1140400000000001</v>
      </c>
      <c r="L85" s="16">
        <f>(K85*100)/K79</f>
        <v>86.070239151853698</v>
      </c>
      <c r="M85" s="12">
        <v>4</v>
      </c>
      <c r="N85" s="12">
        <v>6.1</v>
      </c>
      <c r="O85" s="14">
        <v>19.55</v>
      </c>
      <c r="P85" s="12">
        <v>4</v>
      </c>
      <c r="Q85" s="12">
        <v>673</v>
      </c>
      <c r="R85" s="147">
        <f t="shared" si="2"/>
        <v>26</v>
      </c>
    </row>
    <row r="86" spans="1:18" s="4" customFormat="1" ht="12.75" x14ac:dyDescent="0.2">
      <c r="A86" s="12">
        <v>8</v>
      </c>
      <c r="B86" s="11" t="s">
        <v>35</v>
      </c>
      <c r="C86" s="12">
        <v>4.49</v>
      </c>
      <c r="D86" s="16">
        <f>(C86*100)/C79</f>
        <v>88.385826771653541</v>
      </c>
      <c r="E86" s="12">
        <v>4</v>
      </c>
      <c r="F86" s="12">
        <v>6</v>
      </c>
      <c r="G86" s="12">
        <v>9</v>
      </c>
      <c r="H86" s="12">
        <v>119</v>
      </c>
      <c r="I86" s="12">
        <v>212</v>
      </c>
      <c r="J86" s="12">
        <v>45.8</v>
      </c>
      <c r="K86" s="14">
        <f t="shared" si="1"/>
        <v>2.0564200000000001</v>
      </c>
      <c r="L86" s="16">
        <f>(K86*100)/K79</f>
        <v>83.724319878836241</v>
      </c>
      <c r="M86" s="12">
        <v>3</v>
      </c>
      <c r="N86" s="12">
        <v>5.8</v>
      </c>
      <c r="O86" s="14">
        <v>20.88</v>
      </c>
      <c r="P86" s="12">
        <v>6</v>
      </c>
      <c r="Q86" s="16">
        <v>680</v>
      </c>
      <c r="R86" s="147">
        <f t="shared" si="2"/>
        <v>28</v>
      </c>
    </row>
    <row r="87" spans="1:18" s="4" customFormat="1" ht="12.75" x14ac:dyDescent="0.2">
      <c r="A87" s="12">
        <v>9</v>
      </c>
      <c r="B87" s="11" t="s">
        <v>75</v>
      </c>
      <c r="C87" s="12">
        <v>2.92</v>
      </c>
      <c r="D87" s="16">
        <f>(C87*100)/C79</f>
        <v>57.480314960629919</v>
      </c>
      <c r="E87" s="12">
        <v>1</v>
      </c>
      <c r="F87" s="12">
        <v>5</v>
      </c>
      <c r="G87" s="12">
        <v>9</v>
      </c>
      <c r="H87" s="12">
        <v>111</v>
      </c>
      <c r="I87" s="12">
        <v>212</v>
      </c>
      <c r="J87" s="12">
        <v>46.8</v>
      </c>
      <c r="K87" s="14">
        <f t="shared" si="1"/>
        <v>1.3665599999999998</v>
      </c>
      <c r="L87" s="16">
        <f>(K87*100)/K79</f>
        <v>55.637616135625223</v>
      </c>
      <c r="M87" s="12">
        <v>1</v>
      </c>
      <c r="N87" s="12">
        <v>5.7</v>
      </c>
      <c r="O87" s="14">
        <v>19.16</v>
      </c>
      <c r="P87" s="12">
        <v>4</v>
      </c>
      <c r="Q87" s="12">
        <v>641</v>
      </c>
      <c r="R87" s="147">
        <f t="shared" si="2"/>
        <v>20</v>
      </c>
    </row>
    <row r="88" spans="1:18" s="4" customFormat="1" ht="12.75" x14ac:dyDescent="0.2">
      <c r="A88" s="12">
        <v>10</v>
      </c>
      <c r="B88" s="11" t="s">
        <v>76</v>
      </c>
      <c r="C88" s="12">
        <v>4.08</v>
      </c>
      <c r="D88" s="16">
        <f>(C88*100)/C79</f>
        <v>80.314960629921259</v>
      </c>
      <c r="E88" s="12">
        <v>3</v>
      </c>
      <c r="F88" s="12">
        <v>6</v>
      </c>
      <c r="G88" s="12">
        <v>9</v>
      </c>
      <c r="H88" s="12">
        <v>115</v>
      </c>
      <c r="I88" s="12">
        <v>212</v>
      </c>
      <c r="J88" s="12">
        <v>47.9</v>
      </c>
      <c r="K88" s="14">
        <f t="shared" si="1"/>
        <v>1.9543199999999998</v>
      </c>
      <c r="L88" s="16">
        <f>(K88*100)/K79</f>
        <v>79.567458411028497</v>
      </c>
      <c r="M88" s="12">
        <v>3</v>
      </c>
      <c r="N88" s="12">
        <v>6.9</v>
      </c>
      <c r="O88" s="14">
        <v>19.100000000000001</v>
      </c>
      <c r="P88" s="12">
        <v>4</v>
      </c>
      <c r="Q88" s="12">
        <v>655</v>
      </c>
      <c r="R88" s="147">
        <f t="shared" si="2"/>
        <v>25</v>
      </c>
    </row>
    <row r="89" spans="1:18" s="4" customFormat="1" ht="12.75" x14ac:dyDescent="0.2">
      <c r="A89" s="12">
        <v>11</v>
      </c>
      <c r="B89" s="11" t="s">
        <v>41</v>
      </c>
      <c r="C89" s="14">
        <v>4.7</v>
      </c>
      <c r="D89" s="16">
        <f>(C89*100)/C79</f>
        <v>92.519685039370074</v>
      </c>
      <c r="E89" s="12">
        <v>4</v>
      </c>
      <c r="F89" s="12">
        <v>6</v>
      </c>
      <c r="G89" s="12">
        <v>9</v>
      </c>
      <c r="H89" s="12">
        <v>130</v>
      </c>
      <c r="I89" s="12">
        <v>212</v>
      </c>
      <c r="J89" s="17">
        <v>50</v>
      </c>
      <c r="K89" s="14">
        <f t="shared" si="1"/>
        <v>2.35</v>
      </c>
      <c r="L89" s="16">
        <f>(K89*100)/K79</f>
        <v>95.677026927993865</v>
      </c>
      <c r="M89" s="12">
        <v>5</v>
      </c>
      <c r="N89" s="17">
        <v>5</v>
      </c>
      <c r="O89" s="14">
        <v>17.53</v>
      </c>
      <c r="P89" s="12">
        <v>2</v>
      </c>
      <c r="Q89" s="12">
        <v>663</v>
      </c>
      <c r="R89" s="147">
        <f t="shared" si="2"/>
        <v>26</v>
      </c>
    </row>
    <row r="90" spans="1:18" s="4" customFormat="1" ht="12.75" x14ac:dyDescent="0.2">
      <c r="A90" s="12">
        <v>12</v>
      </c>
      <c r="B90" s="11" t="s">
        <v>42</v>
      </c>
      <c r="C90" s="12">
        <v>5.98</v>
      </c>
      <c r="D90" s="16">
        <f>(C90*100)/C79</f>
        <v>117.71653543307086</v>
      </c>
      <c r="E90" s="12">
        <v>7</v>
      </c>
      <c r="F90" s="12">
        <v>8</v>
      </c>
      <c r="G90" s="12">
        <v>9</v>
      </c>
      <c r="H90" s="12">
        <v>125</v>
      </c>
      <c r="I90" s="12">
        <v>212</v>
      </c>
      <c r="J90" s="12">
        <v>47.7</v>
      </c>
      <c r="K90" s="14">
        <f t="shared" si="1"/>
        <v>2.8524600000000002</v>
      </c>
      <c r="L90" s="16">
        <f>(K90*100)/K79</f>
        <v>116.13399669405337</v>
      </c>
      <c r="M90" s="12">
        <v>7</v>
      </c>
      <c r="N90" s="12">
        <v>6.4</v>
      </c>
      <c r="O90" s="14">
        <v>19.71</v>
      </c>
      <c r="P90" s="12">
        <v>5</v>
      </c>
      <c r="Q90" s="12">
        <v>672</v>
      </c>
      <c r="R90" s="147">
        <f t="shared" si="2"/>
        <v>36</v>
      </c>
    </row>
    <row r="91" spans="1:18" s="4" customFormat="1" ht="12.75" x14ac:dyDescent="0.2">
      <c r="A91" s="12">
        <v>13</v>
      </c>
      <c r="B91" s="11" t="s">
        <v>43</v>
      </c>
      <c r="C91" s="14">
        <v>5.6</v>
      </c>
      <c r="D91" s="16">
        <f>(C91*100)/C79</f>
        <v>110.23622047244095</v>
      </c>
      <c r="E91" s="12">
        <v>6</v>
      </c>
      <c r="F91" s="12">
        <v>8</v>
      </c>
      <c r="G91" s="12">
        <v>9</v>
      </c>
      <c r="H91" s="12">
        <v>124</v>
      </c>
      <c r="I91" s="12">
        <v>212</v>
      </c>
      <c r="J91" s="12">
        <v>47.1</v>
      </c>
      <c r="K91" s="14">
        <f t="shared" si="1"/>
        <v>2.6375999999999999</v>
      </c>
      <c r="L91" s="16">
        <f>(K91*100)/K79</f>
        <v>107.38626647884111</v>
      </c>
      <c r="M91" s="12">
        <v>6</v>
      </c>
      <c r="N91" s="12">
        <v>5.7</v>
      </c>
      <c r="O91" s="14">
        <v>20</v>
      </c>
      <c r="P91" s="12">
        <v>5</v>
      </c>
      <c r="Q91" s="12">
        <v>678</v>
      </c>
      <c r="R91" s="147">
        <f t="shared" si="2"/>
        <v>34</v>
      </c>
    </row>
    <row r="92" spans="1:18" s="4" customFormat="1" ht="12.75" x14ac:dyDescent="0.2">
      <c r="A92" s="12">
        <v>14</v>
      </c>
      <c r="B92" s="11" t="s">
        <v>77</v>
      </c>
      <c r="C92" s="12">
        <v>6.01</v>
      </c>
      <c r="D92" s="16">
        <f>(C92*100)/C79</f>
        <v>118.30708661417323</v>
      </c>
      <c r="E92" s="12">
        <v>7</v>
      </c>
      <c r="F92" s="12">
        <v>8</v>
      </c>
      <c r="G92" s="12">
        <v>9</v>
      </c>
      <c r="H92" s="12">
        <v>114</v>
      </c>
      <c r="I92" s="12">
        <v>212</v>
      </c>
      <c r="J92" s="12">
        <v>48.3</v>
      </c>
      <c r="K92" s="14">
        <f t="shared" si="1"/>
        <v>2.9028299999999998</v>
      </c>
      <c r="L92" s="16">
        <f>(K92*100)/K79</f>
        <v>118.1847421605908</v>
      </c>
      <c r="M92" s="12">
        <v>7</v>
      </c>
      <c r="N92" s="12">
        <v>5.7</v>
      </c>
      <c r="O92" s="14">
        <v>19.75</v>
      </c>
      <c r="P92" s="12">
        <v>5</v>
      </c>
      <c r="Q92" s="12">
        <v>673</v>
      </c>
      <c r="R92" s="147">
        <f t="shared" si="2"/>
        <v>36</v>
      </c>
    </row>
    <row r="93" spans="1:18" s="4" customFormat="1" ht="12.75" x14ac:dyDescent="0.2">
      <c r="A93" s="12">
        <v>15</v>
      </c>
      <c r="B93" s="11" t="s">
        <v>78</v>
      </c>
      <c r="C93" s="12">
        <v>6.37</v>
      </c>
      <c r="D93" s="16">
        <f>(C93*100)/C79</f>
        <v>125.39370078740157</v>
      </c>
      <c r="E93" s="12">
        <v>7</v>
      </c>
      <c r="F93" s="12">
        <v>8</v>
      </c>
      <c r="G93" s="12">
        <v>9</v>
      </c>
      <c r="H93" s="12">
        <v>126</v>
      </c>
      <c r="I93" s="12">
        <v>212</v>
      </c>
      <c r="J93" s="17">
        <v>49</v>
      </c>
      <c r="K93" s="14">
        <f t="shared" ref="K93:K102" si="3">(J93*C93)/100</f>
        <v>3.1212999999999997</v>
      </c>
      <c r="L93" s="16">
        <f>(K93*100)/K79</f>
        <v>127.07944857461585</v>
      </c>
      <c r="M93" s="12">
        <v>8</v>
      </c>
      <c r="N93" s="12">
        <v>5.5</v>
      </c>
      <c r="O93" s="14">
        <v>19.05</v>
      </c>
      <c r="P93" s="12">
        <v>4</v>
      </c>
      <c r="Q93" s="12">
        <v>678</v>
      </c>
      <c r="R93" s="147">
        <f t="shared" ref="R93:R102" si="4">E93+F93+G93+M93+P93</f>
        <v>36</v>
      </c>
    </row>
    <row r="94" spans="1:18" s="4" customFormat="1" ht="12.75" x14ac:dyDescent="0.2">
      <c r="A94" s="12">
        <v>16</v>
      </c>
      <c r="B94" s="11" t="s">
        <v>79</v>
      </c>
      <c r="C94" s="14">
        <v>5.68</v>
      </c>
      <c r="D94" s="16">
        <f>(C94*100)/C79</f>
        <v>111.81102362204724</v>
      </c>
      <c r="E94" s="12">
        <v>6</v>
      </c>
      <c r="F94" s="12">
        <v>7</v>
      </c>
      <c r="G94" s="12">
        <v>9</v>
      </c>
      <c r="H94" s="12">
        <v>132</v>
      </c>
      <c r="I94" s="12">
        <v>212</v>
      </c>
      <c r="J94" s="12">
        <v>49.5</v>
      </c>
      <c r="K94" s="14">
        <f t="shared" si="3"/>
        <v>2.8115999999999999</v>
      </c>
      <c r="L94" s="16">
        <f>(K94*100)/K79</f>
        <v>114.47043783436065</v>
      </c>
      <c r="M94" s="12">
        <v>6</v>
      </c>
      <c r="N94" s="12">
        <v>5.2</v>
      </c>
      <c r="O94" s="14">
        <v>17.670000000000002</v>
      </c>
      <c r="P94" s="12">
        <v>2</v>
      </c>
      <c r="Q94" s="12">
        <v>672</v>
      </c>
      <c r="R94" s="147">
        <f t="shared" si="4"/>
        <v>30</v>
      </c>
    </row>
    <row r="95" spans="1:18" s="4" customFormat="1" ht="12.75" x14ac:dyDescent="0.2">
      <c r="A95" s="12">
        <v>17</v>
      </c>
      <c r="B95" s="11" t="s">
        <v>80</v>
      </c>
      <c r="C95" s="12">
        <v>5.09</v>
      </c>
      <c r="D95" s="16">
        <f>(C95*100)/C79</f>
        <v>100.19685039370079</v>
      </c>
      <c r="E95" s="12">
        <v>5</v>
      </c>
      <c r="F95" s="12">
        <v>7</v>
      </c>
      <c r="G95" s="12">
        <v>9</v>
      </c>
      <c r="H95" s="12">
        <v>118</v>
      </c>
      <c r="I95" s="12">
        <v>212</v>
      </c>
      <c r="J95" s="12">
        <v>47.3</v>
      </c>
      <c r="K95" s="14">
        <f t="shared" si="3"/>
        <v>2.4075699999999998</v>
      </c>
      <c r="L95" s="16">
        <f>(K95*100)/K79</f>
        <v>98.020910519587304</v>
      </c>
      <c r="M95" s="12">
        <v>5</v>
      </c>
      <c r="N95" s="12">
        <v>5.7</v>
      </c>
      <c r="O95" s="14">
        <v>19.940000000000001</v>
      </c>
      <c r="P95" s="12">
        <v>4</v>
      </c>
      <c r="Q95" s="12">
        <v>668</v>
      </c>
      <c r="R95" s="147">
        <f t="shared" si="4"/>
        <v>30</v>
      </c>
    </row>
    <row r="96" spans="1:18" s="4" customFormat="1" ht="12.75" x14ac:dyDescent="0.2">
      <c r="A96" s="12">
        <v>18</v>
      </c>
      <c r="B96" s="11" t="s">
        <v>81</v>
      </c>
      <c r="C96" s="14">
        <v>6.19</v>
      </c>
      <c r="D96" s="16">
        <f>(C96*100)/C79</f>
        <v>121.85039370078739</v>
      </c>
      <c r="E96" s="12">
        <v>7</v>
      </c>
      <c r="F96" s="12">
        <v>7</v>
      </c>
      <c r="G96" s="12">
        <v>9</v>
      </c>
      <c r="H96" s="12">
        <v>117</v>
      </c>
      <c r="I96" s="12">
        <v>212</v>
      </c>
      <c r="J96" s="12">
        <v>47.8</v>
      </c>
      <c r="K96" s="14">
        <f t="shared" si="3"/>
        <v>2.9588200000000002</v>
      </c>
      <c r="L96" s="16">
        <f>(K96*100)/K79</f>
        <v>120.46429821918588</v>
      </c>
      <c r="M96" s="12">
        <v>7</v>
      </c>
      <c r="N96" s="12">
        <v>6.9</v>
      </c>
      <c r="O96" s="14">
        <v>19.12</v>
      </c>
      <c r="P96" s="12">
        <v>4</v>
      </c>
      <c r="Q96" s="12">
        <v>672</v>
      </c>
      <c r="R96" s="147">
        <f t="shared" si="4"/>
        <v>34</v>
      </c>
    </row>
    <row r="97" spans="1:18" s="4" customFormat="1" ht="12.75" x14ac:dyDescent="0.2">
      <c r="A97" s="12">
        <v>19</v>
      </c>
      <c r="B97" s="11" t="s">
        <v>82</v>
      </c>
      <c r="C97" s="12">
        <v>4.37</v>
      </c>
      <c r="D97" s="16">
        <f>(C97*100)/C79</f>
        <v>86.023622047244089</v>
      </c>
      <c r="E97" s="12">
        <v>4</v>
      </c>
      <c r="F97" s="12">
        <v>6</v>
      </c>
      <c r="G97" s="12">
        <v>8</v>
      </c>
      <c r="H97" s="12">
        <v>128</v>
      </c>
      <c r="I97" s="12">
        <v>212</v>
      </c>
      <c r="J97" s="12">
        <v>49.7</v>
      </c>
      <c r="K97" s="14">
        <f t="shared" si="3"/>
        <v>2.1718900000000003</v>
      </c>
      <c r="L97" s="16">
        <f>(K97*100)/K79</f>
        <v>88.425522559421537</v>
      </c>
      <c r="M97" s="12">
        <v>4</v>
      </c>
      <c r="N97" s="12">
        <v>5.7</v>
      </c>
      <c r="O97" s="14">
        <v>18.03</v>
      </c>
      <c r="P97" s="12">
        <v>3</v>
      </c>
      <c r="Q97" s="12">
        <v>643</v>
      </c>
      <c r="R97" s="147">
        <f t="shared" si="4"/>
        <v>25</v>
      </c>
    </row>
    <row r="98" spans="1:18" s="4" customFormat="1" ht="12.75" x14ac:dyDescent="0.2">
      <c r="A98" s="12">
        <v>20</v>
      </c>
      <c r="B98" s="11" t="s">
        <v>83</v>
      </c>
      <c r="C98" s="12">
        <v>6.61</v>
      </c>
      <c r="D98" s="16">
        <f>(C98*100)/C79</f>
        <v>130.11811023622047</v>
      </c>
      <c r="E98" s="12">
        <v>8</v>
      </c>
      <c r="F98" s="12">
        <v>7</v>
      </c>
      <c r="G98" s="12">
        <v>9</v>
      </c>
      <c r="H98" s="12">
        <v>133</v>
      </c>
      <c r="I98" s="12">
        <v>212</v>
      </c>
      <c r="J98" s="12">
        <v>48.6</v>
      </c>
      <c r="K98" s="14">
        <f t="shared" si="3"/>
        <v>3.2124600000000005</v>
      </c>
      <c r="L98" s="16">
        <f>(K98*100)/K79</f>
        <v>130.79090294685244</v>
      </c>
      <c r="M98" s="12">
        <v>8</v>
      </c>
      <c r="N98" s="12">
        <v>4.8</v>
      </c>
      <c r="O98" s="14">
        <v>18.73</v>
      </c>
      <c r="P98" s="12">
        <v>3</v>
      </c>
      <c r="Q98" s="12">
        <v>665</v>
      </c>
      <c r="R98" s="147">
        <f t="shared" si="4"/>
        <v>35</v>
      </c>
    </row>
    <row r="99" spans="1:18" s="4" customFormat="1" ht="12.75" x14ac:dyDescent="0.2">
      <c r="A99" s="12">
        <v>21</v>
      </c>
      <c r="B99" s="11" t="s">
        <v>84</v>
      </c>
      <c r="C99" s="12">
        <v>5.18</v>
      </c>
      <c r="D99" s="16">
        <f>(C99*100)/C79</f>
        <v>101.96850393700787</v>
      </c>
      <c r="E99" s="12">
        <v>5</v>
      </c>
      <c r="F99" s="12">
        <v>6</v>
      </c>
      <c r="G99" s="12">
        <v>8</v>
      </c>
      <c r="H99" s="12">
        <v>127</v>
      </c>
      <c r="I99" s="12">
        <v>212</v>
      </c>
      <c r="J99" s="12">
        <v>47.7</v>
      </c>
      <c r="K99" s="14">
        <f t="shared" si="3"/>
        <v>2.4708600000000001</v>
      </c>
      <c r="L99" s="16">
        <f>(K99*100)/K79</f>
        <v>100.59767606608635</v>
      </c>
      <c r="M99" s="12">
        <v>5</v>
      </c>
      <c r="N99" s="12">
        <v>5.8</v>
      </c>
      <c r="O99" s="14">
        <v>19.23</v>
      </c>
      <c r="P99" s="12">
        <v>4</v>
      </c>
      <c r="Q99" s="12">
        <v>672</v>
      </c>
      <c r="R99" s="147">
        <f t="shared" si="4"/>
        <v>28</v>
      </c>
    </row>
    <row r="100" spans="1:18" s="4" customFormat="1" ht="12.75" x14ac:dyDescent="0.2">
      <c r="A100" s="12">
        <v>22</v>
      </c>
      <c r="B100" s="11" t="s">
        <v>85</v>
      </c>
      <c r="C100" s="12">
        <v>4.88</v>
      </c>
      <c r="D100" s="16">
        <f>(C100*100)/C79</f>
        <v>96.062992125984252</v>
      </c>
      <c r="E100" s="12">
        <v>5</v>
      </c>
      <c r="F100" s="12">
        <v>7</v>
      </c>
      <c r="G100" s="12">
        <v>9</v>
      </c>
      <c r="H100" s="12">
        <v>118</v>
      </c>
      <c r="I100" s="12">
        <v>212</v>
      </c>
      <c r="J100" s="12">
        <v>46.6</v>
      </c>
      <c r="K100" s="14">
        <f t="shared" si="3"/>
        <v>2.2740800000000001</v>
      </c>
      <c r="L100" s="16">
        <f>(K100*100)/K79</f>
        <v>92.58604825379247</v>
      </c>
      <c r="M100" s="12">
        <v>4</v>
      </c>
      <c r="N100" s="12">
        <v>6.6</v>
      </c>
      <c r="O100" s="14">
        <v>19.78</v>
      </c>
      <c r="P100" s="12">
        <v>5</v>
      </c>
      <c r="Q100" s="12">
        <v>666</v>
      </c>
      <c r="R100" s="147">
        <f t="shared" si="4"/>
        <v>30</v>
      </c>
    </row>
    <row r="101" spans="1:18" s="4" customFormat="1" ht="12.75" x14ac:dyDescent="0.2">
      <c r="A101" s="12">
        <v>23</v>
      </c>
      <c r="B101" s="11" t="s">
        <v>86</v>
      </c>
      <c r="C101" s="12">
        <v>4.68</v>
      </c>
      <c r="D101" s="16">
        <f>(C101*100)/C79</f>
        <v>92.125984251968504</v>
      </c>
      <c r="E101" s="12">
        <v>4</v>
      </c>
      <c r="F101" s="12">
        <v>5</v>
      </c>
      <c r="G101" s="12">
        <v>9</v>
      </c>
      <c r="H101" s="12">
        <v>117</v>
      </c>
      <c r="I101" s="12">
        <v>212</v>
      </c>
      <c r="J101" s="12">
        <v>48.8</v>
      </c>
      <c r="K101" s="14">
        <f t="shared" si="3"/>
        <v>2.2838399999999996</v>
      </c>
      <c r="L101" s="16">
        <f>(K101*100)/K79</f>
        <v>92.983413267757228</v>
      </c>
      <c r="M101" s="12">
        <v>4</v>
      </c>
      <c r="N101" s="12">
        <v>5.5</v>
      </c>
      <c r="O101" s="14">
        <v>18.71</v>
      </c>
      <c r="P101" s="12">
        <v>3</v>
      </c>
      <c r="Q101" s="12">
        <v>667</v>
      </c>
      <c r="R101" s="147">
        <f t="shared" si="4"/>
        <v>25</v>
      </c>
    </row>
    <row r="102" spans="1:18" s="4" customFormat="1" ht="12.75" x14ac:dyDescent="0.2">
      <c r="A102" s="12">
        <v>24</v>
      </c>
      <c r="B102" s="11" t="s">
        <v>87</v>
      </c>
      <c r="C102" s="12">
        <v>4.74</v>
      </c>
      <c r="D102" s="16">
        <f>(C102*100)/C79</f>
        <v>93.30708661417323</v>
      </c>
      <c r="E102" s="12">
        <v>4</v>
      </c>
      <c r="F102" s="12">
        <v>6</v>
      </c>
      <c r="G102" s="12">
        <v>9</v>
      </c>
      <c r="H102" s="12">
        <v>125</v>
      </c>
      <c r="I102" s="12">
        <v>212</v>
      </c>
      <c r="J102" s="12">
        <v>47.5</v>
      </c>
      <c r="K102" s="14">
        <f t="shared" si="3"/>
        <v>2.2515000000000001</v>
      </c>
      <c r="L102" s="16">
        <f>(K102*100)/K79</f>
        <v>91.666734522714123</v>
      </c>
      <c r="M102" s="12">
        <v>4</v>
      </c>
      <c r="N102" s="12">
        <v>5.6</v>
      </c>
      <c r="O102" s="14">
        <v>19.41</v>
      </c>
      <c r="P102" s="12">
        <v>4</v>
      </c>
      <c r="Q102" s="12">
        <v>667</v>
      </c>
      <c r="R102" s="147">
        <f t="shared" si="4"/>
        <v>27</v>
      </c>
    </row>
    <row r="103" spans="1:18" x14ac:dyDescent="0.2">
      <c r="R103" s="126"/>
    </row>
    <row r="104" spans="1:18" s="4" customFormat="1" ht="12.75" x14ac:dyDescent="0.2">
      <c r="A104" s="5" t="s">
        <v>29</v>
      </c>
      <c r="R104" s="76"/>
    </row>
    <row r="105" spans="1:18" s="4" customFormat="1" ht="12.75" x14ac:dyDescent="0.2">
      <c r="A105" s="12">
        <v>1</v>
      </c>
      <c r="B105" s="11" t="s">
        <v>38</v>
      </c>
      <c r="C105" s="14">
        <f>(C27+C53+C79)/3</f>
        <v>5.1416666666666666</v>
      </c>
      <c r="D105" s="12">
        <v>100</v>
      </c>
      <c r="E105" s="12">
        <v>5</v>
      </c>
      <c r="F105" s="16">
        <f>(F27+F53+F79)/3</f>
        <v>8</v>
      </c>
      <c r="G105" s="16">
        <f>(G27+G53+G79)/3</f>
        <v>8.6666666666666661</v>
      </c>
      <c r="H105" s="16">
        <f>(H27+H53+H79)/3</f>
        <v>127.66666666666667</v>
      </c>
      <c r="I105" s="16">
        <f>(I27+I53+I79)/3</f>
        <v>204.66666666666666</v>
      </c>
      <c r="J105" s="17">
        <f>(J27+J53+J79)/3</f>
        <v>49.183333333333337</v>
      </c>
      <c r="K105" s="14">
        <f t="shared" ref="K105:K128" si="5">(J105*C105)/100</f>
        <v>2.5288430555555559</v>
      </c>
      <c r="L105" s="12">
        <v>100</v>
      </c>
      <c r="M105" s="12">
        <v>5</v>
      </c>
      <c r="N105" s="17">
        <f>(N27+N53+N79)/3</f>
        <v>5.8450000000000015</v>
      </c>
      <c r="O105" s="14">
        <f>(O27+O53+O79)/3</f>
        <v>18.903333333333336</v>
      </c>
      <c r="P105" s="12">
        <v>4</v>
      </c>
      <c r="Q105" s="16">
        <f>(Q27+Q53+Q79)/3</f>
        <v>687.5</v>
      </c>
      <c r="R105" s="131">
        <f t="shared" ref="R105:R128" si="6">E105+F105+G105+M105+P105</f>
        <v>30.666666666666664</v>
      </c>
    </row>
    <row r="106" spans="1:18" s="4" customFormat="1" ht="12.75" x14ac:dyDescent="0.2">
      <c r="A106" s="12">
        <v>2</v>
      </c>
      <c r="B106" s="11" t="s">
        <v>39</v>
      </c>
      <c r="C106" s="14">
        <f t="shared" ref="C106:C128" si="7">(C28+C54+C80)/3</f>
        <v>4.5233333333333334</v>
      </c>
      <c r="D106" s="16">
        <f>(C106*100)/C105</f>
        <v>87.974068071312814</v>
      </c>
      <c r="E106" s="12">
        <v>4</v>
      </c>
      <c r="F106" s="16">
        <f t="shared" ref="F106:J128" si="8">(F28+F54+F80)/3</f>
        <v>7.333333333333333</v>
      </c>
      <c r="G106" s="16">
        <f t="shared" si="8"/>
        <v>8.6666666666666661</v>
      </c>
      <c r="H106" s="16">
        <f t="shared" si="8"/>
        <v>124.66666666666667</v>
      </c>
      <c r="I106" s="16">
        <f t="shared" si="8"/>
        <v>205.33333333333334</v>
      </c>
      <c r="J106" s="17">
        <f t="shared" si="8"/>
        <v>48.266666666666673</v>
      </c>
      <c r="K106" s="14">
        <f t="shared" si="5"/>
        <v>2.1832622222222224</v>
      </c>
      <c r="L106" s="16">
        <f>(K106*100)/K105</f>
        <v>86.3344293915696</v>
      </c>
      <c r="M106" s="12">
        <v>4</v>
      </c>
      <c r="N106" s="17">
        <f t="shared" ref="N106:O128" si="9">(N28+N54+N80)/3</f>
        <v>5.5966666666666667</v>
      </c>
      <c r="O106" s="14">
        <f t="shared" si="9"/>
        <v>20.150000000000002</v>
      </c>
      <c r="P106" s="12">
        <v>5</v>
      </c>
      <c r="Q106" s="16">
        <f t="shared" ref="Q106:Q128" si="10">(Q28+Q54+Q80)/3</f>
        <v>687</v>
      </c>
      <c r="R106" s="131">
        <f t="shared" si="6"/>
        <v>29</v>
      </c>
    </row>
    <row r="107" spans="1:18" s="4" customFormat="1" ht="12.75" x14ac:dyDescent="0.2">
      <c r="A107" s="12">
        <v>3</v>
      </c>
      <c r="B107" s="11" t="s">
        <v>40</v>
      </c>
      <c r="C107" s="14">
        <f t="shared" si="7"/>
        <v>4.13</v>
      </c>
      <c r="D107" s="16">
        <f>(C107*100)/C105</f>
        <v>80.32414910858995</v>
      </c>
      <c r="E107" s="12">
        <v>3</v>
      </c>
      <c r="F107" s="16">
        <f t="shared" si="8"/>
        <v>6.333333333333333</v>
      </c>
      <c r="G107" s="16">
        <f t="shared" si="8"/>
        <v>8.3333333333333339</v>
      </c>
      <c r="H107" s="16">
        <f t="shared" si="8"/>
        <v>126.66666666666667</v>
      </c>
      <c r="I107" s="16">
        <f t="shared" si="8"/>
        <v>205</v>
      </c>
      <c r="J107" s="17">
        <f t="shared" si="8"/>
        <v>47.6</v>
      </c>
      <c r="K107" s="14">
        <f t="shared" si="5"/>
        <v>1.9658799999999998</v>
      </c>
      <c r="L107" s="16">
        <f>(K107*100)/K105</f>
        <v>77.738315775714284</v>
      </c>
      <c r="M107" s="12">
        <v>3</v>
      </c>
      <c r="N107" s="17">
        <f t="shared" si="9"/>
        <v>5.8066666666666675</v>
      </c>
      <c r="O107" s="14">
        <f t="shared" si="9"/>
        <v>20.33666666666667</v>
      </c>
      <c r="P107" s="12">
        <v>5</v>
      </c>
      <c r="Q107" s="16">
        <f t="shared" si="10"/>
        <v>681.33333333333337</v>
      </c>
      <c r="R107" s="131">
        <f t="shared" si="6"/>
        <v>25.666666666666664</v>
      </c>
    </row>
    <row r="108" spans="1:18" s="4" customFormat="1" ht="12.75" x14ac:dyDescent="0.2">
      <c r="A108" s="12">
        <v>4</v>
      </c>
      <c r="B108" s="11" t="s">
        <v>72</v>
      </c>
      <c r="C108" s="14">
        <f t="shared" si="7"/>
        <v>4.4033333333333333</v>
      </c>
      <c r="D108" s="16">
        <f>(C108*100)/C105</f>
        <v>85.640194489465145</v>
      </c>
      <c r="E108" s="12">
        <v>4</v>
      </c>
      <c r="F108" s="16">
        <f t="shared" si="8"/>
        <v>7.666666666666667</v>
      </c>
      <c r="G108" s="16">
        <f t="shared" si="8"/>
        <v>8.6666666666666661</v>
      </c>
      <c r="H108" s="16">
        <f t="shared" si="8"/>
        <v>136.33333333333334</v>
      </c>
      <c r="I108" s="16">
        <f t="shared" si="8"/>
        <v>204.66666666666666</v>
      </c>
      <c r="J108" s="17">
        <f t="shared" si="8"/>
        <v>48.9</v>
      </c>
      <c r="K108" s="14">
        <f t="shared" si="5"/>
        <v>2.1532299999999998</v>
      </c>
      <c r="L108" s="16">
        <f>(K108*100)/K105</f>
        <v>85.146841962755232</v>
      </c>
      <c r="M108" s="12">
        <v>3</v>
      </c>
      <c r="N108" s="17">
        <f t="shared" si="9"/>
        <v>5.5233333333333334</v>
      </c>
      <c r="O108" s="14">
        <f t="shared" si="9"/>
        <v>19.79</v>
      </c>
      <c r="P108" s="12">
        <v>5</v>
      </c>
      <c r="Q108" s="16">
        <f t="shared" si="10"/>
        <v>679</v>
      </c>
      <c r="R108" s="131">
        <f t="shared" si="6"/>
        <v>28.333333333333336</v>
      </c>
    </row>
    <row r="109" spans="1:18" s="4" customFormat="1" ht="12.75" x14ac:dyDescent="0.2">
      <c r="A109" s="12">
        <v>5</v>
      </c>
      <c r="B109" s="11" t="s">
        <v>73</v>
      </c>
      <c r="C109" s="14">
        <f t="shared" si="7"/>
        <v>4.88</v>
      </c>
      <c r="D109" s="16">
        <f>(C109*100)/C105</f>
        <v>94.910858995137758</v>
      </c>
      <c r="E109" s="12">
        <v>4</v>
      </c>
      <c r="F109" s="16">
        <f t="shared" si="8"/>
        <v>7.333333333333333</v>
      </c>
      <c r="G109" s="16">
        <f t="shared" si="8"/>
        <v>8.6666666666666661</v>
      </c>
      <c r="H109" s="16">
        <f t="shared" si="8"/>
        <v>132</v>
      </c>
      <c r="I109" s="16">
        <f t="shared" si="8"/>
        <v>205.33333333333334</v>
      </c>
      <c r="J109" s="17">
        <f t="shared" si="8"/>
        <v>48.633333333333333</v>
      </c>
      <c r="K109" s="14">
        <f t="shared" si="5"/>
        <v>2.3733066666666667</v>
      </c>
      <c r="L109" s="16">
        <f>(K109*100)/K105</f>
        <v>93.849504082620115</v>
      </c>
      <c r="M109" s="12">
        <v>4</v>
      </c>
      <c r="N109" s="17">
        <f t="shared" si="9"/>
        <v>5.3500000000000005</v>
      </c>
      <c r="O109" s="14">
        <f t="shared" si="9"/>
        <v>20.056666666666665</v>
      </c>
      <c r="P109" s="12">
        <v>5</v>
      </c>
      <c r="Q109" s="16">
        <f t="shared" si="10"/>
        <v>690.66666666666663</v>
      </c>
      <c r="R109" s="131">
        <f t="shared" si="6"/>
        <v>29</v>
      </c>
    </row>
    <row r="110" spans="1:18" s="4" customFormat="1" ht="12.75" x14ac:dyDescent="0.2">
      <c r="A110" s="12">
        <v>6</v>
      </c>
      <c r="B110" s="11" t="s">
        <v>74</v>
      </c>
      <c r="C110" s="14">
        <f t="shared" si="7"/>
        <v>4.5199999999999996</v>
      </c>
      <c r="D110" s="16">
        <f>(C110*100)/C105</f>
        <v>87.909238249594807</v>
      </c>
      <c r="E110" s="12">
        <v>4</v>
      </c>
      <c r="F110" s="16">
        <f t="shared" si="8"/>
        <v>7</v>
      </c>
      <c r="G110" s="16">
        <f t="shared" si="8"/>
        <v>8.6666666666666661</v>
      </c>
      <c r="H110" s="16">
        <f t="shared" si="8"/>
        <v>131</v>
      </c>
      <c r="I110" s="16">
        <f t="shared" si="8"/>
        <v>205.33333333333334</v>
      </c>
      <c r="J110" s="17">
        <f t="shared" si="8"/>
        <v>47.066666666666663</v>
      </c>
      <c r="K110" s="14">
        <f t="shared" si="5"/>
        <v>2.1274133333333332</v>
      </c>
      <c r="L110" s="16">
        <f>(K110*100)/K105</f>
        <v>84.125953512997526</v>
      </c>
      <c r="M110" s="12">
        <v>3</v>
      </c>
      <c r="N110" s="17">
        <f t="shared" si="9"/>
        <v>5.2633333333333336</v>
      </c>
      <c r="O110" s="14">
        <f t="shared" si="9"/>
        <v>19.976666666666667</v>
      </c>
      <c r="P110" s="12">
        <v>5</v>
      </c>
      <c r="Q110" s="16">
        <f t="shared" si="10"/>
        <v>688.33333333333337</v>
      </c>
      <c r="R110" s="131">
        <f t="shared" si="6"/>
        <v>27.666666666666664</v>
      </c>
    </row>
    <row r="111" spans="1:18" s="4" customFormat="1" ht="12.75" x14ac:dyDescent="0.2">
      <c r="A111" s="12">
        <v>7</v>
      </c>
      <c r="B111" s="11" t="s">
        <v>34</v>
      </c>
      <c r="C111" s="14">
        <f t="shared" si="7"/>
        <v>4.126666666666666</v>
      </c>
      <c r="D111" s="16">
        <f>(C111*100)/C105</f>
        <v>80.259319286871957</v>
      </c>
      <c r="E111" s="12">
        <v>3</v>
      </c>
      <c r="F111" s="16">
        <f t="shared" si="8"/>
        <v>6.666666666666667</v>
      </c>
      <c r="G111" s="16">
        <f t="shared" si="8"/>
        <v>8.6666666666666661</v>
      </c>
      <c r="H111" s="16">
        <f t="shared" si="8"/>
        <v>122.33333333333333</v>
      </c>
      <c r="I111" s="16">
        <f t="shared" si="8"/>
        <v>205.66666666666666</v>
      </c>
      <c r="J111" s="17">
        <f t="shared" si="8"/>
        <v>47.300000000000004</v>
      </c>
      <c r="K111" s="14">
        <f t="shared" si="5"/>
        <v>1.9519133333333332</v>
      </c>
      <c r="L111" s="16">
        <f>(K111*100)/K105</f>
        <v>77.186021055961561</v>
      </c>
      <c r="M111" s="12">
        <v>3</v>
      </c>
      <c r="N111" s="17">
        <f t="shared" si="9"/>
        <v>5.6566666666666663</v>
      </c>
      <c r="O111" s="14">
        <f t="shared" si="9"/>
        <v>20.596666666666664</v>
      </c>
      <c r="P111" s="12">
        <v>6</v>
      </c>
      <c r="Q111" s="16">
        <f t="shared" si="10"/>
        <v>688.66666666666663</v>
      </c>
      <c r="R111" s="131">
        <f t="shared" si="6"/>
        <v>27.333333333333336</v>
      </c>
    </row>
    <row r="112" spans="1:18" s="4" customFormat="1" ht="12.75" x14ac:dyDescent="0.2">
      <c r="A112" s="12">
        <v>8</v>
      </c>
      <c r="B112" s="11" t="s">
        <v>35</v>
      </c>
      <c r="C112" s="14">
        <f t="shared" si="7"/>
        <v>3.9533333333333331</v>
      </c>
      <c r="D112" s="16">
        <f>(C112*100)/C105</f>
        <v>76.88816855753646</v>
      </c>
      <c r="E112" s="12">
        <v>3</v>
      </c>
      <c r="F112" s="16">
        <f t="shared" si="8"/>
        <v>7</v>
      </c>
      <c r="G112" s="16">
        <f t="shared" si="8"/>
        <v>8.6666666666666661</v>
      </c>
      <c r="H112" s="16">
        <f t="shared" si="8"/>
        <v>126</v>
      </c>
      <c r="I112" s="16">
        <f t="shared" si="8"/>
        <v>204.66666666666666</v>
      </c>
      <c r="J112" s="17">
        <f t="shared" si="8"/>
        <v>46.533333333333339</v>
      </c>
      <c r="K112" s="14">
        <f t="shared" si="5"/>
        <v>1.839617777777778</v>
      </c>
      <c r="L112" s="16">
        <f>(K112*100)/K105</f>
        <v>72.745430909061952</v>
      </c>
      <c r="M112" s="12">
        <v>2</v>
      </c>
      <c r="N112" s="17">
        <f t="shared" si="9"/>
        <v>5.27</v>
      </c>
      <c r="O112" s="14">
        <f t="shared" si="9"/>
        <v>20.606666666666666</v>
      </c>
      <c r="P112" s="12">
        <v>6</v>
      </c>
      <c r="Q112" s="16">
        <f t="shared" si="10"/>
        <v>689</v>
      </c>
      <c r="R112" s="131">
        <f t="shared" si="6"/>
        <v>26.666666666666664</v>
      </c>
    </row>
    <row r="113" spans="1:18" s="4" customFormat="1" ht="12.75" x14ac:dyDescent="0.2">
      <c r="A113" s="12">
        <v>9</v>
      </c>
      <c r="B113" s="11" t="s">
        <v>75</v>
      </c>
      <c r="C113" s="14">
        <f t="shared" si="7"/>
        <v>3.77</v>
      </c>
      <c r="D113" s="16">
        <f>(C113*100)/C105</f>
        <v>73.322528363046999</v>
      </c>
      <c r="E113" s="12">
        <v>2</v>
      </c>
      <c r="F113" s="16">
        <f t="shared" si="8"/>
        <v>6.333333333333333</v>
      </c>
      <c r="G113" s="16">
        <f t="shared" si="8"/>
        <v>8.6666666666666661</v>
      </c>
      <c r="H113" s="16">
        <f t="shared" si="8"/>
        <v>113.33333333333333</v>
      </c>
      <c r="I113" s="16">
        <f t="shared" si="8"/>
        <v>205.66666666666666</v>
      </c>
      <c r="J113" s="17">
        <f t="shared" si="8"/>
        <v>47.4</v>
      </c>
      <c r="K113" s="14">
        <f t="shared" si="5"/>
        <v>1.78698</v>
      </c>
      <c r="L113" s="16">
        <f>(K113*100)/K105</f>
        <v>70.663934484752843</v>
      </c>
      <c r="M113" s="12">
        <v>2</v>
      </c>
      <c r="N113" s="17">
        <f t="shared" si="9"/>
        <v>5.47</v>
      </c>
      <c r="O113" s="14">
        <f t="shared" si="9"/>
        <v>20.973333333333333</v>
      </c>
      <c r="P113" s="12">
        <v>6</v>
      </c>
      <c r="Q113" s="16">
        <f t="shared" si="10"/>
        <v>661.66666666666663</v>
      </c>
      <c r="R113" s="131">
        <f t="shared" si="6"/>
        <v>25</v>
      </c>
    </row>
    <row r="114" spans="1:18" s="4" customFormat="1" ht="12.75" x14ac:dyDescent="0.2">
      <c r="A114" s="12">
        <v>10</v>
      </c>
      <c r="B114" s="11" t="s">
        <v>76</v>
      </c>
      <c r="C114" s="14">
        <f t="shared" si="7"/>
        <v>4.1399999999999997</v>
      </c>
      <c r="D114" s="16">
        <f>(C114*100)/C105</f>
        <v>80.518638573743914</v>
      </c>
      <c r="E114" s="12">
        <v>3</v>
      </c>
      <c r="F114" s="16">
        <f t="shared" si="8"/>
        <v>7</v>
      </c>
      <c r="G114" s="16">
        <f t="shared" si="8"/>
        <v>8.6666666666666661</v>
      </c>
      <c r="H114" s="16">
        <f t="shared" si="8"/>
        <v>121.66666666666667</v>
      </c>
      <c r="I114" s="16">
        <f t="shared" si="8"/>
        <v>206.66666666666666</v>
      </c>
      <c r="J114" s="17">
        <f t="shared" si="8"/>
        <v>47.966666666666669</v>
      </c>
      <c r="K114" s="14">
        <f t="shared" si="5"/>
        <v>1.9858199999999999</v>
      </c>
      <c r="L114" s="16">
        <f>(K114*100)/K105</f>
        <v>78.526818642912559</v>
      </c>
      <c r="M114" s="12">
        <v>3</v>
      </c>
      <c r="N114" s="17">
        <f t="shared" si="9"/>
        <v>5.7666666666666666</v>
      </c>
      <c r="O114" s="14">
        <f t="shared" si="9"/>
        <v>20.553333333333335</v>
      </c>
      <c r="P114" s="12">
        <v>5</v>
      </c>
      <c r="Q114" s="16">
        <f t="shared" si="10"/>
        <v>672.66666666666663</v>
      </c>
      <c r="R114" s="131">
        <f t="shared" si="6"/>
        <v>26.666666666666664</v>
      </c>
    </row>
    <row r="115" spans="1:18" s="4" customFormat="1" ht="12.75" x14ac:dyDescent="0.2">
      <c r="A115" s="12">
        <v>11</v>
      </c>
      <c r="B115" s="11" t="s">
        <v>41</v>
      </c>
      <c r="C115" s="14">
        <f t="shared" si="7"/>
        <v>5.1366666666666667</v>
      </c>
      <c r="D115" s="16">
        <f>(C115*100)/C105</f>
        <v>99.902755267423004</v>
      </c>
      <c r="E115" s="12">
        <v>5</v>
      </c>
      <c r="F115" s="16">
        <f t="shared" si="8"/>
        <v>7.666666666666667</v>
      </c>
      <c r="G115" s="16">
        <f t="shared" si="8"/>
        <v>8.6666666666666661</v>
      </c>
      <c r="H115" s="16">
        <f t="shared" si="8"/>
        <v>135.66666666666666</v>
      </c>
      <c r="I115" s="16">
        <f t="shared" si="8"/>
        <v>205</v>
      </c>
      <c r="J115" s="17">
        <f t="shared" si="8"/>
        <v>49.233333333333327</v>
      </c>
      <c r="K115" s="14">
        <f t="shared" si="5"/>
        <v>2.5289522222222218</v>
      </c>
      <c r="L115" s="16">
        <f>(K115*100)/K105</f>
        <v>100.00431686206963</v>
      </c>
      <c r="M115" s="12">
        <v>5</v>
      </c>
      <c r="N115" s="17">
        <f t="shared" si="9"/>
        <v>4.95</v>
      </c>
      <c r="O115" s="14">
        <f t="shared" si="9"/>
        <v>18.86</v>
      </c>
      <c r="P115" s="12">
        <v>4</v>
      </c>
      <c r="Q115" s="16">
        <f t="shared" si="10"/>
        <v>677.66666666666663</v>
      </c>
      <c r="R115" s="131">
        <f t="shared" si="6"/>
        <v>30.333333333333336</v>
      </c>
    </row>
    <row r="116" spans="1:18" s="4" customFormat="1" ht="12.75" x14ac:dyDescent="0.2">
      <c r="A116" s="12">
        <v>12</v>
      </c>
      <c r="B116" s="11" t="s">
        <v>42</v>
      </c>
      <c r="C116" s="14">
        <f t="shared" si="7"/>
        <v>4.6633333333333331</v>
      </c>
      <c r="D116" s="16">
        <f>(C116*100)/C105</f>
        <v>90.696920583468398</v>
      </c>
      <c r="E116" s="12">
        <v>4</v>
      </c>
      <c r="F116" s="16">
        <f t="shared" si="8"/>
        <v>8</v>
      </c>
      <c r="G116" s="16">
        <f t="shared" si="8"/>
        <v>8.6666666666666661</v>
      </c>
      <c r="H116" s="16">
        <f t="shared" si="8"/>
        <v>126.66666666666667</v>
      </c>
      <c r="I116" s="16">
        <f t="shared" si="8"/>
        <v>205.66666666666666</v>
      </c>
      <c r="J116" s="17">
        <f t="shared" si="8"/>
        <v>47.4</v>
      </c>
      <c r="K116" s="14">
        <f t="shared" si="5"/>
        <v>2.2104199999999996</v>
      </c>
      <c r="L116" s="16">
        <f>(K116*100)/K105</f>
        <v>87.408350436931229</v>
      </c>
      <c r="M116" s="12">
        <v>4</v>
      </c>
      <c r="N116" s="17">
        <f t="shared" si="9"/>
        <v>5.94</v>
      </c>
      <c r="O116" s="14">
        <f t="shared" si="9"/>
        <v>21.04</v>
      </c>
      <c r="P116" s="12">
        <v>6</v>
      </c>
      <c r="Q116" s="16">
        <f t="shared" si="10"/>
        <v>673</v>
      </c>
      <c r="R116" s="131">
        <f t="shared" si="6"/>
        <v>30.666666666666664</v>
      </c>
    </row>
    <row r="117" spans="1:18" s="4" customFormat="1" ht="12.75" x14ac:dyDescent="0.2">
      <c r="A117" s="12">
        <v>13</v>
      </c>
      <c r="B117" s="11" t="s">
        <v>43</v>
      </c>
      <c r="C117" s="14">
        <f t="shared" si="7"/>
        <v>4.9433333333333334</v>
      </c>
      <c r="D117" s="16">
        <f>(C117*100)/C105</f>
        <v>96.142625607779578</v>
      </c>
      <c r="E117" s="12">
        <v>5</v>
      </c>
      <c r="F117" s="16">
        <f t="shared" si="8"/>
        <v>8</v>
      </c>
      <c r="G117" s="16">
        <f t="shared" si="8"/>
        <v>8.6666666666666661</v>
      </c>
      <c r="H117" s="16">
        <f t="shared" si="8"/>
        <v>130.66666666666666</v>
      </c>
      <c r="I117" s="16">
        <f t="shared" si="8"/>
        <v>205</v>
      </c>
      <c r="J117" s="17">
        <f t="shared" si="8"/>
        <v>47.566666666666663</v>
      </c>
      <c r="K117" s="14">
        <f t="shared" si="5"/>
        <v>2.3513788888888887</v>
      </c>
      <c r="L117" s="16">
        <f>(K117*100)/K105</f>
        <v>92.982396978855604</v>
      </c>
      <c r="M117" s="12">
        <v>4</v>
      </c>
      <c r="N117" s="17">
        <f t="shared" si="9"/>
        <v>5.3900000000000006</v>
      </c>
      <c r="O117" s="14">
        <f t="shared" si="9"/>
        <v>20.896666666666665</v>
      </c>
      <c r="P117" s="12">
        <v>6</v>
      </c>
      <c r="Q117" s="16">
        <f t="shared" si="10"/>
        <v>687</v>
      </c>
      <c r="R117" s="131">
        <f t="shared" si="6"/>
        <v>31.666666666666664</v>
      </c>
    </row>
    <row r="118" spans="1:18" s="4" customFormat="1" ht="12.75" x14ac:dyDescent="0.2">
      <c r="A118" s="12">
        <v>14</v>
      </c>
      <c r="B118" s="11" t="s">
        <v>77</v>
      </c>
      <c r="C118" s="14">
        <f t="shared" si="7"/>
        <v>5.0433333333333339</v>
      </c>
      <c r="D118" s="16">
        <f>(C118*100)/C105</f>
        <v>98.087520259319291</v>
      </c>
      <c r="E118" s="12">
        <v>5</v>
      </c>
      <c r="F118" s="16">
        <f t="shared" si="8"/>
        <v>8.3333333333333339</v>
      </c>
      <c r="G118" s="16">
        <f t="shared" si="8"/>
        <v>8.6666666666666661</v>
      </c>
      <c r="H118" s="16">
        <f t="shared" si="8"/>
        <v>122</v>
      </c>
      <c r="I118" s="16">
        <f t="shared" si="8"/>
        <v>206</v>
      </c>
      <c r="J118" s="17">
        <f t="shared" si="8"/>
        <v>47.9</v>
      </c>
      <c r="K118" s="14">
        <f t="shared" si="5"/>
        <v>2.4157566666666668</v>
      </c>
      <c r="L118" s="16">
        <f>(K118*100)/K105</f>
        <v>95.52813731795446</v>
      </c>
      <c r="M118" s="12">
        <v>5</v>
      </c>
      <c r="N118" s="17">
        <f t="shared" si="9"/>
        <v>5.4466666666666663</v>
      </c>
      <c r="O118" s="14">
        <f t="shared" si="9"/>
        <v>20.76</v>
      </c>
      <c r="P118" s="12">
        <v>6</v>
      </c>
      <c r="Q118" s="16">
        <f t="shared" si="10"/>
        <v>682</v>
      </c>
      <c r="R118" s="131">
        <f t="shared" si="6"/>
        <v>33</v>
      </c>
    </row>
    <row r="119" spans="1:18" s="4" customFormat="1" ht="12.75" x14ac:dyDescent="0.2">
      <c r="A119" s="12">
        <v>15</v>
      </c>
      <c r="B119" s="11" t="s">
        <v>78</v>
      </c>
      <c r="C119" s="14">
        <f t="shared" si="7"/>
        <v>5.54</v>
      </c>
      <c r="D119" s="16">
        <f>(C119*100)/C105</f>
        <v>107.74716369529983</v>
      </c>
      <c r="E119" s="12">
        <v>6</v>
      </c>
      <c r="F119" s="16">
        <f t="shared" si="8"/>
        <v>8.3333333333333339</v>
      </c>
      <c r="G119" s="16">
        <f t="shared" si="8"/>
        <v>8.6666666666666661</v>
      </c>
      <c r="H119" s="16">
        <f t="shared" si="8"/>
        <v>131.33333333333334</v>
      </c>
      <c r="I119" s="16">
        <f t="shared" si="8"/>
        <v>206</v>
      </c>
      <c r="J119" s="17">
        <f t="shared" si="8"/>
        <v>48.033333333333331</v>
      </c>
      <c r="K119" s="14">
        <f t="shared" si="5"/>
        <v>2.6610466666666666</v>
      </c>
      <c r="L119" s="16">
        <f>(K119*100)/K105</f>
        <v>105.22782981018437</v>
      </c>
      <c r="M119" s="12">
        <v>5</v>
      </c>
      <c r="N119" s="17">
        <f t="shared" si="9"/>
        <v>5.57</v>
      </c>
      <c r="O119" s="14">
        <f t="shared" si="9"/>
        <v>19.996666666666666</v>
      </c>
      <c r="P119" s="12">
        <v>5</v>
      </c>
      <c r="Q119" s="16">
        <f t="shared" si="10"/>
        <v>683.33333333333337</v>
      </c>
      <c r="R119" s="131">
        <f t="shared" si="6"/>
        <v>33</v>
      </c>
    </row>
    <row r="120" spans="1:18" s="4" customFormat="1" ht="12.75" x14ac:dyDescent="0.2">
      <c r="A120" s="12">
        <v>16</v>
      </c>
      <c r="B120" s="11" t="s">
        <v>79</v>
      </c>
      <c r="C120" s="14">
        <f t="shared" si="7"/>
        <v>5.53</v>
      </c>
      <c r="D120" s="16">
        <f>(C120*100)/C105</f>
        <v>107.55267423014587</v>
      </c>
      <c r="E120" s="12">
        <v>6</v>
      </c>
      <c r="F120" s="16">
        <f t="shared" si="8"/>
        <v>8</v>
      </c>
      <c r="G120" s="16">
        <f t="shared" si="8"/>
        <v>8.6666666666666661</v>
      </c>
      <c r="H120" s="16">
        <f t="shared" si="8"/>
        <v>137.33333333333334</v>
      </c>
      <c r="I120" s="16">
        <f t="shared" si="8"/>
        <v>206</v>
      </c>
      <c r="J120" s="17">
        <f t="shared" si="8"/>
        <v>49.766666666666673</v>
      </c>
      <c r="K120" s="14">
        <f t="shared" si="5"/>
        <v>2.7520966666666671</v>
      </c>
      <c r="L120" s="16">
        <f>(K120*100)/K105</f>
        <v>108.82829049515945</v>
      </c>
      <c r="M120" s="12">
        <v>6</v>
      </c>
      <c r="N120" s="17">
        <f t="shared" si="9"/>
        <v>4.7866666666666662</v>
      </c>
      <c r="O120" s="14">
        <f t="shared" si="9"/>
        <v>18.636666666666667</v>
      </c>
      <c r="P120" s="12">
        <v>3</v>
      </c>
      <c r="Q120" s="16">
        <f t="shared" si="10"/>
        <v>683.33333333333337</v>
      </c>
      <c r="R120" s="131">
        <f t="shared" si="6"/>
        <v>31.666666666666664</v>
      </c>
    </row>
    <row r="121" spans="1:18" s="4" customFormat="1" ht="12.75" x14ac:dyDescent="0.2">
      <c r="A121" s="12">
        <v>17</v>
      </c>
      <c r="B121" s="11" t="s">
        <v>80</v>
      </c>
      <c r="C121" s="14">
        <f t="shared" si="7"/>
        <v>4.7733333333333334</v>
      </c>
      <c r="D121" s="16">
        <f>(C121*100)/C105</f>
        <v>92.836304700162088</v>
      </c>
      <c r="E121" s="12">
        <v>4</v>
      </c>
      <c r="F121" s="16">
        <f t="shared" si="8"/>
        <v>8</v>
      </c>
      <c r="G121" s="16">
        <f t="shared" si="8"/>
        <v>8.6666666666666661</v>
      </c>
      <c r="H121" s="16">
        <f t="shared" si="8"/>
        <v>121.33333333333333</v>
      </c>
      <c r="I121" s="16">
        <f t="shared" si="8"/>
        <v>206</v>
      </c>
      <c r="J121" s="17">
        <f t="shared" si="8"/>
        <v>47.199999999999996</v>
      </c>
      <c r="K121" s="14">
        <f t="shared" si="5"/>
        <v>2.2530133333333331</v>
      </c>
      <c r="L121" s="16">
        <f>(K121*100)/K105</f>
        <v>89.092651613303602</v>
      </c>
      <c r="M121" s="12">
        <v>4</v>
      </c>
      <c r="N121" s="17">
        <f t="shared" si="9"/>
        <v>5.4866666666666672</v>
      </c>
      <c r="O121" s="14">
        <f t="shared" si="9"/>
        <v>20.406666666666666</v>
      </c>
      <c r="P121" s="12">
        <v>5</v>
      </c>
      <c r="Q121" s="16">
        <f t="shared" si="10"/>
        <v>680</v>
      </c>
      <c r="R121" s="131">
        <f t="shared" si="6"/>
        <v>29.666666666666664</v>
      </c>
    </row>
    <row r="122" spans="1:18" s="4" customFormat="1" ht="12.75" x14ac:dyDescent="0.2">
      <c r="A122" s="12">
        <v>18</v>
      </c>
      <c r="B122" s="11" t="s">
        <v>81</v>
      </c>
      <c r="C122" s="14">
        <f t="shared" si="7"/>
        <v>5.56</v>
      </c>
      <c r="D122" s="16">
        <f>(C122*100)/C105</f>
        <v>108.13614262560777</v>
      </c>
      <c r="E122" s="12">
        <v>6</v>
      </c>
      <c r="F122" s="16">
        <f t="shared" si="8"/>
        <v>7.666666666666667</v>
      </c>
      <c r="G122" s="16">
        <f t="shared" si="8"/>
        <v>8.6666666666666661</v>
      </c>
      <c r="H122" s="16">
        <f t="shared" si="8"/>
        <v>125</v>
      </c>
      <c r="I122" s="16">
        <f t="shared" si="8"/>
        <v>205</v>
      </c>
      <c r="J122" s="17">
        <f t="shared" si="8"/>
        <v>47.866666666666667</v>
      </c>
      <c r="K122" s="14">
        <f t="shared" si="5"/>
        <v>2.6613866666666666</v>
      </c>
      <c r="L122" s="16">
        <f>(K122*100)/K105</f>
        <v>105.24127469357693</v>
      </c>
      <c r="M122" s="12">
        <v>5</v>
      </c>
      <c r="N122" s="17">
        <f t="shared" si="9"/>
        <v>5.296666666666666</v>
      </c>
      <c r="O122" s="14">
        <f t="shared" si="9"/>
        <v>20.203333333333333</v>
      </c>
      <c r="P122" s="12">
        <v>5</v>
      </c>
      <c r="Q122" s="16">
        <f t="shared" si="10"/>
        <v>683.33333333333337</v>
      </c>
      <c r="R122" s="131">
        <f t="shared" si="6"/>
        <v>32.333333333333336</v>
      </c>
    </row>
    <row r="123" spans="1:18" s="4" customFormat="1" ht="12.75" x14ac:dyDescent="0.2">
      <c r="A123" s="12">
        <v>19</v>
      </c>
      <c r="B123" s="11" t="s">
        <v>82</v>
      </c>
      <c r="C123" s="14">
        <f t="shared" si="7"/>
        <v>4.8166666666666664</v>
      </c>
      <c r="D123" s="16">
        <f>(C123*100)/C105</f>
        <v>93.679092382495938</v>
      </c>
      <c r="E123" s="12">
        <v>4</v>
      </c>
      <c r="F123" s="16">
        <f t="shared" si="8"/>
        <v>7.666666666666667</v>
      </c>
      <c r="G123" s="16">
        <f t="shared" si="8"/>
        <v>8.3333333333333339</v>
      </c>
      <c r="H123" s="16">
        <f t="shared" si="8"/>
        <v>134.66666666666666</v>
      </c>
      <c r="I123" s="16">
        <f t="shared" si="8"/>
        <v>205.33333333333334</v>
      </c>
      <c r="J123" s="17">
        <f t="shared" si="8"/>
        <v>49.9</v>
      </c>
      <c r="K123" s="14">
        <f t="shared" si="5"/>
        <v>2.4035166666666665</v>
      </c>
      <c r="L123" s="16">
        <f>(K123*100)/K105</f>
        <v>95.04412151582271</v>
      </c>
      <c r="M123" s="12">
        <v>4</v>
      </c>
      <c r="N123" s="17">
        <f t="shared" si="9"/>
        <v>4.93</v>
      </c>
      <c r="O123" s="14">
        <f t="shared" si="9"/>
        <v>18.556666666666668</v>
      </c>
      <c r="P123" s="12">
        <v>3</v>
      </c>
      <c r="Q123" s="16">
        <f t="shared" si="10"/>
        <v>664.33333333333337</v>
      </c>
      <c r="R123" s="131">
        <f t="shared" si="6"/>
        <v>27</v>
      </c>
    </row>
    <row r="124" spans="1:18" s="4" customFormat="1" ht="12.75" x14ac:dyDescent="0.2">
      <c r="A124" s="12">
        <v>20</v>
      </c>
      <c r="B124" s="11" t="s">
        <v>83</v>
      </c>
      <c r="C124" s="14">
        <f t="shared" si="7"/>
        <v>5.6866666666666665</v>
      </c>
      <c r="D124" s="16">
        <f>(C124*100)/C105</f>
        <v>110.5996758508914</v>
      </c>
      <c r="E124" s="12">
        <v>6</v>
      </c>
      <c r="F124" s="16">
        <f t="shared" si="8"/>
        <v>7.666666666666667</v>
      </c>
      <c r="G124" s="16">
        <f t="shared" si="8"/>
        <v>8.6666666666666661</v>
      </c>
      <c r="H124" s="16">
        <f t="shared" si="8"/>
        <v>132.66666666666666</v>
      </c>
      <c r="I124" s="16">
        <f t="shared" si="8"/>
        <v>205.33333333333334</v>
      </c>
      <c r="J124" s="17">
        <f t="shared" si="8"/>
        <v>48.466666666666669</v>
      </c>
      <c r="K124" s="14">
        <f t="shared" si="5"/>
        <v>2.756137777777778</v>
      </c>
      <c r="L124" s="16">
        <f>(K124*100)/K105</f>
        <v>108.9880912824101</v>
      </c>
      <c r="M124" s="12">
        <v>6</v>
      </c>
      <c r="N124" s="17">
        <f t="shared" si="9"/>
        <v>4.4800000000000004</v>
      </c>
      <c r="O124" s="14">
        <f t="shared" si="9"/>
        <v>20.253333333333334</v>
      </c>
      <c r="P124" s="12">
        <v>5</v>
      </c>
      <c r="Q124" s="16">
        <f t="shared" si="10"/>
        <v>675.66666666666663</v>
      </c>
      <c r="R124" s="131">
        <f t="shared" si="6"/>
        <v>33.333333333333336</v>
      </c>
    </row>
    <row r="125" spans="1:18" s="4" customFormat="1" ht="12.75" x14ac:dyDescent="0.2">
      <c r="A125" s="12">
        <v>21</v>
      </c>
      <c r="B125" s="11" t="s">
        <v>84</v>
      </c>
      <c r="C125" s="14">
        <f t="shared" si="7"/>
        <v>4.7633333333333328</v>
      </c>
      <c r="D125" s="16">
        <f>(C125*100)/C105</f>
        <v>92.641815235008096</v>
      </c>
      <c r="E125" s="12">
        <v>4</v>
      </c>
      <c r="F125" s="16">
        <f t="shared" si="8"/>
        <v>6.333333333333333</v>
      </c>
      <c r="G125" s="16">
        <f t="shared" si="8"/>
        <v>8.3333333333333339</v>
      </c>
      <c r="H125" s="16">
        <f t="shared" si="8"/>
        <v>128.66666666666666</v>
      </c>
      <c r="I125" s="16">
        <f t="shared" si="8"/>
        <v>205</v>
      </c>
      <c r="J125" s="17">
        <f t="shared" si="8"/>
        <v>48.133333333333326</v>
      </c>
      <c r="K125" s="14">
        <f t="shared" si="5"/>
        <v>2.2927511111111105</v>
      </c>
      <c r="L125" s="16">
        <f>(K125*100)/K105</f>
        <v>90.664033344189519</v>
      </c>
      <c r="M125" s="12">
        <v>4</v>
      </c>
      <c r="N125" s="17">
        <f t="shared" si="9"/>
        <v>5.2133333333333338</v>
      </c>
      <c r="O125" s="14">
        <f t="shared" si="9"/>
        <v>20.62</v>
      </c>
      <c r="P125" s="12">
        <v>6</v>
      </c>
      <c r="Q125" s="16">
        <f t="shared" si="10"/>
        <v>682.33333333333337</v>
      </c>
      <c r="R125" s="131">
        <f t="shared" si="6"/>
        <v>28.666666666666664</v>
      </c>
    </row>
    <row r="126" spans="1:18" s="4" customFormat="1" ht="12.75" x14ac:dyDescent="0.2">
      <c r="A126" s="12">
        <v>22</v>
      </c>
      <c r="B126" s="11" t="s">
        <v>85</v>
      </c>
      <c r="C126" s="14">
        <f t="shared" si="7"/>
        <v>4.46</v>
      </c>
      <c r="D126" s="16">
        <f>(C126*100)/C105</f>
        <v>86.742301458670994</v>
      </c>
      <c r="E126" s="12">
        <v>4</v>
      </c>
      <c r="F126" s="16">
        <f t="shared" si="8"/>
        <v>7</v>
      </c>
      <c r="G126" s="16">
        <f t="shared" si="8"/>
        <v>8.6666666666666661</v>
      </c>
      <c r="H126" s="16">
        <f t="shared" si="8"/>
        <v>125.66666666666667</v>
      </c>
      <c r="I126" s="16">
        <f t="shared" si="8"/>
        <v>205</v>
      </c>
      <c r="J126" s="17">
        <f t="shared" si="8"/>
        <v>47.333333333333336</v>
      </c>
      <c r="K126" s="14">
        <f t="shared" si="5"/>
        <v>2.1110666666666669</v>
      </c>
      <c r="L126" s="16">
        <f>(K126*100)/K105</f>
        <v>83.479544609496983</v>
      </c>
      <c r="M126" s="12">
        <v>3</v>
      </c>
      <c r="N126" s="17">
        <f t="shared" si="9"/>
        <v>6.0100000000000007</v>
      </c>
      <c r="O126" s="14">
        <f t="shared" si="9"/>
        <v>20.52</v>
      </c>
      <c r="P126" s="12">
        <v>5</v>
      </c>
      <c r="Q126" s="16">
        <f t="shared" si="10"/>
        <v>681.66666666666663</v>
      </c>
      <c r="R126" s="131">
        <f t="shared" si="6"/>
        <v>27.666666666666664</v>
      </c>
    </row>
    <row r="127" spans="1:18" s="4" customFormat="1" ht="12.75" x14ac:dyDescent="0.2">
      <c r="A127" s="12">
        <v>23</v>
      </c>
      <c r="B127" s="11" t="s">
        <v>86</v>
      </c>
      <c r="C127" s="14">
        <f t="shared" si="7"/>
        <v>4.45</v>
      </c>
      <c r="D127" s="16">
        <f>(C127*100)/C105</f>
        <v>86.547811993517016</v>
      </c>
      <c r="E127" s="12">
        <v>4</v>
      </c>
      <c r="F127" s="16">
        <f t="shared" si="8"/>
        <v>6.666666666666667</v>
      </c>
      <c r="G127" s="16">
        <f t="shared" si="8"/>
        <v>8.6666666666666661</v>
      </c>
      <c r="H127" s="16">
        <f t="shared" si="8"/>
        <v>123.66666666666667</v>
      </c>
      <c r="I127" s="16">
        <f t="shared" si="8"/>
        <v>205.33333333333334</v>
      </c>
      <c r="J127" s="17">
        <f t="shared" si="8"/>
        <v>49.1</v>
      </c>
      <c r="K127" s="14">
        <f t="shared" si="5"/>
        <v>2.1849500000000002</v>
      </c>
      <c r="L127" s="16">
        <f>(K127*100)/K105</f>
        <v>86.401170495730639</v>
      </c>
      <c r="M127" s="12">
        <v>4</v>
      </c>
      <c r="N127" s="17">
        <f t="shared" si="9"/>
        <v>5.376666666666666</v>
      </c>
      <c r="O127" s="14">
        <f t="shared" si="9"/>
        <v>18.66</v>
      </c>
      <c r="P127" s="12">
        <v>3</v>
      </c>
      <c r="Q127" s="16">
        <f t="shared" si="10"/>
        <v>677.66666666666663</v>
      </c>
      <c r="R127" s="131">
        <f t="shared" si="6"/>
        <v>26.333333333333336</v>
      </c>
    </row>
    <row r="128" spans="1:18" s="4" customFormat="1" ht="12.75" x14ac:dyDescent="0.2">
      <c r="A128" s="12">
        <v>24</v>
      </c>
      <c r="B128" s="11" t="s">
        <v>87</v>
      </c>
      <c r="C128" s="14">
        <f t="shared" si="7"/>
        <v>4.6066666666666665</v>
      </c>
      <c r="D128" s="16">
        <f>(C128*100)/C105</f>
        <v>89.594813614262549</v>
      </c>
      <c r="E128" s="12">
        <v>4</v>
      </c>
      <c r="F128" s="16">
        <f t="shared" si="8"/>
        <v>7.333333333333333</v>
      </c>
      <c r="G128" s="16">
        <f t="shared" si="8"/>
        <v>8.6666666666666661</v>
      </c>
      <c r="H128" s="16">
        <f t="shared" si="8"/>
        <v>123.66666666666667</v>
      </c>
      <c r="I128" s="16">
        <f t="shared" si="8"/>
        <v>205.66666666666666</v>
      </c>
      <c r="J128" s="17">
        <f t="shared" si="8"/>
        <v>47.366666666666667</v>
      </c>
      <c r="K128" s="14">
        <f t="shared" si="5"/>
        <v>2.1820244444444445</v>
      </c>
      <c r="L128" s="16">
        <f>(K128*100)/K105</f>
        <v>86.285482986016333</v>
      </c>
      <c r="M128" s="12">
        <v>4</v>
      </c>
      <c r="N128" s="17">
        <f t="shared" si="9"/>
        <v>5.55</v>
      </c>
      <c r="O128" s="14">
        <f t="shared" si="9"/>
        <v>20.226666666666663</v>
      </c>
      <c r="P128" s="12">
        <v>5</v>
      </c>
      <c r="Q128" s="16">
        <f t="shared" si="10"/>
        <v>680.66666666666663</v>
      </c>
      <c r="R128" s="131">
        <f t="shared" si="6"/>
        <v>29</v>
      </c>
    </row>
  </sheetData>
  <mergeCells count="8">
    <mergeCell ref="A25:B25"/>
    <mergeCell ref="B6:B7"/>
    <mergeCell ref="A6:A7"/>
    <mergeCell ref="R6:R7"/>
    <mergeCell ref="K6:M6"/>
    <mergeCell ref="Q6:Q7"/>
    <mergeCell ref="C6:E6"/>
    <mergeCell ref="O6:P6"/>
  </mergeCells>
  <phoneticPr fontId="0" type="noConversion"/>
  <pageMargins left="0.34" right="0.26" top="0.75" bottom="0.51" header="0.3" footer="0.24"/>
  <pageSetup paperSize="9" scale="82" fitToHeight="0" orientation="landscape" r:id="rId1"/>
  <headerFooter>
    <oddHeader>&amp;L&amp;"-,Bold"
Ziemas rapsis&amp;"-,Regular"  (Brassica napus L.) &amp;C&amp;"Verdana,Bold"&amp;14Ziemas rapša saimniecisko īpašību novērtējums 2013.gadā.</oddHeader>
    <oddFooter>&amp;CLapa &amp;P no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K51" sqref="K51"/>
    </sheetView>
  </sheetViews>
  <sheetFormatPr defaultRowHeight="14.25" x14ac:dyDescent="0.2"/>
  <cols>
    <col min="1" max="1" width="3.28515625" style="3" customWidth="1"/>
    <col min="2" max="2" width="19.7109375" style="3" customWidth="1"/>
    <col min="3" max="3" width="6.140625" style="3" customWidth="1"/>
    <col min="4" max="4" width="5.85546875" style="3" customWidth="1"/>
    <col min="5" max="5" width="4.5703125" style="3" customWidth="1"/>
    <col min="6" max="6" width="5.7109375" style="3" customWidth="1"/>
    <col min="7" max="7" width="5.140625" style="3" customWidth="1"/>
    <col min="8" max="8" width="5.85546875" style="3" customWidth="1"/>
    <col min="9" max="9" width="5.7109375" style="3" customWidth="1"/>
    <col min="10" max="10" width="4.42578125" style="3" customWidth="1"/>
    <col min="11" max="11" width="5.85546875" style="3" customWidth="1"/>
    <col min="12" max="12" width="4.85546875" style="3" customWidth="1"/>
    <col min="13" max="13" width="5.85546875" style="3" customWidth="1"/>
    <col min="14" max="14" width="4.7109375" style="3" customWidth="1"/>
    <col min="15" max="15" width="6" style="3" customWidth="1"/>
    <col min="16" max="16" width="5.28515625" style="3" customWidth="1"/>
    <col min="17" max="17" width="5.85546875" style="3" customWidth="1"/>
    <col min="18" max="18" width="5" style="3" customWidth="1"/>
    <col min="19" max="19" width="5.5703125" style="3" customWidth="1"/>
    <col min="20" max="20" width="4" style="3" customWidth="1"/>
    <col min="21" max="21" width="5.5703125" style="3" customWidth="1"/>
    <col min="22" max="22" width="5.140625" style="3" customWidth="1"/>
    <col min="23" max="23" width="8.140625" style="3" customWidth="1"/>
    <col min="24" max="16384" width="9.140625" style="3"/>
  </cols>
  <sheetData>
    <row r="1" spans="1:23" ht="15" customHeight="1" x14ac:dyDescent="0.2">
      <c r="A1" s="1"/>
      <c r="B1" s="1"/>
      <c r="C1" s="22" t="s">
        <v>217</v>
      </c>
      <c r="D1" s="1"/>
      <c r="E1" s="1"/>
      <c r="F1" s="1"/>
      <c r="G1" s="1"/>
      <c r="H1" s="1"/>
      <c r="K1" s="1"/>
      <c r="L1" s="1"/>
      <c r="M1" s="1"/>
      <c r="N1" s="1"/>
      <c r="O1" s="1"/>
      <c r="P1" s="1"/>
      <c r="W1" s="1"/>
    </row>
    <row r="2" spans="1:23" ht="2.25" customHeight="1" x14ac:dyDescent="0.2"/>
    <row r="3" spans="1:23" ht="15" x14ac:dyDescent="0.2">
      <c r="A3" s="2" t="s">
        <v>205</v>
      </c>
    </row>
    <row r="4" spans="1:23" ht="8.25" hidden="1" customHeight="1" x14ac:dyDescent="0.2"/>
    <row r="5" spans="1:23" s="4" customFormat="1" ht="60.75" customHeight="1" x14ac:dyDescent="0.2">
      <c r="A5" s="152" t="s">
        <v>12</v>
      </c>
      <c r="B5" s="152" t="s">
        <v>0</v>
      </c>
      <c r="C5" s="152" t="s">
        <v>88</v>
      </c>
      <c r="D5" s="152"/>
      <c r="E5" s="152"/>
      <c r="F5" s="11" t="s">
        <v>219</v>
      </c>
      <c r="G5" s="11" t="s">
        <v>229</v>
      </c>
      <c r="H5" s="11" t="s">
        <v>136</v>
      </c>
      <c r="I5" s="152" t="s">
        <v>215</v>
      </c>
      <c r="J5" s="152"/>
      <c r="K5" s="152" t="s">
        <v>90</v>
      </c>
      <c r="L5" s="152"/>
      <c r="M5" s="152" t="s">
        <v>212</v>
      </c>
      <c r="N5" s="152"/>
      <c r="O5" s="152" t="s">
        <v>91</v>
      </c>
      <c r="P5" s="152"/>
      <c r="Q5" s="152" t="s">
        <v>92</v>
      </c>
      <c r="R5" s="152"/>
      <c r="S5" s="152" t="s">
        <v>94</v>
      </c>
      <c r="T5" s="152"/>
      <c r="U5" s="152" t="s">
        <v>27</v>
      </c>
      <c r="V5" s="152"/>
      <c r="W5" s="153" t="s">
        <v>30</v>
      </c>
    </row>
    <row r="6" spans="1:23" s="4" customFormat="1" ht="36.75" customHeight="1" x14ac:dyDescent="0.2">
      <c r="A6" s="152"/>
      <c r="B6" s="152"/>
      <c r="C6" s="12" t="s">
        <v>67</v>
      </c>
      <c r="D6" s="12" t="s">
        <v>44</v>
      </c>
      <c r="E6" s="12" t="s">
        <v>6</v>
      </c>
      <c r="F6" s="12" t="s">
        <v>6</v>
      </c>
      <c r="G6" s="12" t="s">
        <v>59</v>
      </c>
      <c r="H6" s="12" t="s">
        <v>61</v>
      </c>
      <c r="I6" s="12" t="s">
        <v>89</v>
      </c>
      <c r="J6" s="12" t="s">
        <v>6</v>
      </c>
      <c r="K6" s="12" t="s">
        <v>15</v>
      </c>
      <c r="L6" s="13" t="s">
        <v>6</v>
      </c>
      <c r="M6" s="13" t="s">
        <v>63</v>
      </c>
      <c r="N6" s="13" t="s">
        <v>6</v>
      </c>
      <c r="O6" s="12" t="s">
        <v>15</v>
      </c>
      <c r="P6" s="12" t="s">
        <v>6</v>
      </c>
      <c r="Q6" s="12" t="s">
        <v>93</v>
      </c>
      <c r="R6" s="12" t="s">
        <v>6</v>
      </c>
      <c r="S6" s="12" t="s">
        <v>95</v>
      </c>
      <c r="T6" s="12" t="s">
        <v>6</v>
      </c>
      <c r="U6" s="12" t="s">
        <v>15</v>
      </c>
      <c r="V6" s="12" t="s">
        <v>6</v>
      </c>
      <c r="W6" s="153"/>
    </row>
    <row r="7" spans="1:23" s="4" customFormat="1" ht="12.75" x14ac:dyDescent="0.2">
      <c r="A7" s="5" t="s">
        <v>121</v>
      </c>
      <c r="W7" s="144"/>
    </row>
    <row r="8" spans="1:23" s="4" customFormat="1" ht="12.75" x14ac:dyDescent="0.2">
      <c r="A8" s="12">
        <v>1</v>
      </c>
      <c r="B8" s="11" t="s">
        <v>137</v>
      </c>
      <c r="C8" s="14">
        <v>7.19</v>
      </c>
      <c r="D8" s="12">
        <v>100</v>
      </c>
      <c r="E8" s="12">
        <f>5*2</f>
        <v>10</v>
      </c>
      <c r="F8" s="12">
        <v>8</v>
      </c>
      <c r="G8" s="16">
        <v>79</v>
      </c>
      <c r="H8" s="12">
        <v>90</v>
      </c>
      <c r="I8" s="12">
        <v>764</v>
      </c>
      <c r="J8" s="12">
        <v>6</v>
      </c>
      <c r="K8" s="17">
        <v>12.8</v>
      </c>
      <c r="L8" s="12">
        <v>6</v>
      </c>
      <c r="M8" s="17">
        <v>36.5</v>
      </c>
      <c r="N8" s="16">
        <v>5</v>
      </c>
      <c r="O8" s="12">
        <v>22.2</v>
      </c>
      <c r="P8" s="12">
        <v>5</v>
      </c>
      <c r="Q8" s="12">
        <v>39.1</v>
      </c>
      <c r="R8" s="12">
        <v>7</v>
      </c>
      <c r="S8" s="12">
        <v>221</v>
      </c>
      <c r="T8" s="12">
        <v>7</v>
      </c>
      <c r="U8" s="12">
        <v>67.099999999999994</v>
      </c>
      <c r="V8" s="12">
        <v>5</v>
      </c>
      <c r="W8" s="131">
        <f t="shared" ref="W8:W14" si="0">E8+J8+L8+N8+P8+R8+T8+V8</f>
        <v>51</v>
      </c>
    </row>
    <row r="9" spans="1:23" s="4" customFormat="1" ht="12.75" x14ac:dyDescent="0.2">
      <c r="A9" s="12">
        <v>2</v>
      </c>
      <c r="B9" s="11" t="s">
        <v>138</v>
      </c>
      <c r="C9" s="14">
        <v>7.59</v>
      </c>
      <c r="D9" s="16">
        <f>(C9*100)/C8</f>
        <v>105.56328233657858</v>
      </c>
      <c r="E9" s="12">
        <f>6*2</f>
        <v>12</v>
      </c>
      <c r="F9" s="12">
        <v>6</v>
      </c>
      <c r="G9" s="12">
        <v>78</v>
      </c>
      <c r="H9" s="12">
        <v>90</v>
      </c>
      <c r="I9" s="12">
        <v>795</v>
      </c>
      <c r="J9" s="12">
        <v>8</v>
      </c>
      <c r="K9" s="17">
        <v>12.2</v>
      </c>
      <c r="L9" s="12">
        <v>6</v>
      </c>
      <c r="M9" s="12">
        <v>41.4</v>
      </c>
      <c r="N9" s="12">
        <v>6</v>
      </c>
      <c r="O9" s="12">
        <v>21.8</v>
      </c>
      <c r="P9" s="12">
        <v>4</v>
      </c>
      <c r="Q9" s="12">
        <v>39.5</v>
      </c>
      <c r="R9" s="12">
        <v>7</v>
      </c>
      <c r="S9" s="12">
        <v>309</v>
      </c>
      <c r="T9" s="12">
        <v>7</v>
      </c>
      <c r="U9" s="12">
        <v>66.7</v>
      </c>
      <c r="V9" s="12">
        <v>4</v>
      </c>
      <c r="W9" s="131">
        <f t="shared" si="0"/>
        <v>54</v>
      </c>
    </row>
    <row r="10" spans="1:23" s="4" customFormat="1" ht="12.75" x14ac:dyDescent="0.2">
      <c r="A10" s="12">
        <v>3</v>
      </c>
      <c r="B10" s="11" t="s">
        <v>139</v>
      </c>
      <c r="C10" s="12">
        <v>8.23</v>
      </c>
      <c r="D10" s="16">
        <f>(C10*100)/C8</f>
        <v>114.46453407510431</v>
      </c>
      <c r="E10" s="12">
        <f>6*2</f>
        <v>12</v>
      </c>
      <c r="F10" s="12">
        <v>9</v>
      </c>
      <c r="G10" s="12">
        <v>86</v>
      </c>
      <c r="H10" s="12">
        <v>85</v>
      </c>
      <c r="I10" s="12">
        <v>788</v>
      </c>
      <c r="J10" s="12">
        <v>8</v>
      </c>
      <c r="K10" s="17">
        <v>12.6</v>
      </c>
      <c r="L10" s="12">
        <v>6</v>
      </c>
      <c r="M10" s="17">
        <v>44.6</v>
      </c>
      <c r="N10" s="12">
        <v>7</v>
      </c>
      <c r="O10" s="12">
        <v>24.5</v>
      </c>
      <c r="P10" s="12">
        <v>7</v>
      </c>
      <c r="Q10" s="12">
        <v>43.9</v>
      </c>
      <c r="R10" s="12">
        <v>7</v>
      </c>
      <c r="S10" s="12">
        <v>305</v>
      </c>
      <c r="T10" s="12">
        <v>7</v>
      </c>
      <c r="U10" s="12">
        <v>68.099999999999994</v>
      </c>
      <c r="V10" s="12">
        <v>6</v>
      </c>
      <c r="W10" s="131">
        <f t="shared" si="0"/>
        <v>60</v>
      </c>
    </row>
    <row r="11" spans="1:23" s="4" customFormat="1" ht="12.75" x14ac:dyDescent="0.2">
      <c r="A11" s="12">
        <v>4</v>
      </c>
      <c r="B11" s="11" t="s">
        <v>140</v>
      </c>
      <c r="C11" s="12">
        <v>8.67</v>
      </c>
      <c r="D11" s="16">
        <f>(C11*100)/C8</f>
        <v>120.58414464534074</v>
      </c>
      <c r="E11" s="12">
        <f>7*2</f>
        <v>14</v>
      </c>
      <c r="F11" s="12">
        <v>8</v>
      </c>
      <c r="G11" s="12">
        <v>81</v>
      </c>
      <c r="H11" s="12">
        <v>90</v>
      </c>
      <c r="I11" s="12">
        <v>783</v>
      </c>
      <c r="J11" s="12">
        <v>7</v>
      </c>
      <c r="K11" s="17">
        <v>12.2</v>
      </c>
      <c r="L11" s="12">
        <v>6</v>
      </c>
      <c r="M11" s="12">
        <v>39.5</v>
      </c>
      <c r="N11" s="12">
        <v>6</v>
      </c>
      <c r="O11" s="12">
        <v>22.5</v>
      </c>
      <c r="P11" s="12">
        <v>5</v>
      </c>
      <c r="Q11" s="17">
        <v>39</v>
      </c>
      <c r="R11" s="12">
        <v>7</v>
      </c>
      <c r="S11" s="12">
        <v>287</v>
      </c>
      <c r="T11" s="12">
        <v>9</v>
      </c>
      <c r="U11" s="12">
        <v>68.5</v>
      </c>
      <c r="V11" s="12">
        <v>7</v>
      </c>
      <c r="W11" s="131">
        <f t="shared" si="0"/>
        <v>61</v>
      </c>
    </row>
    <row r="12" spans="1:23" s="4" customFormat="1" ht="12.75" x14ac:dyDescent="0.2">
      <c r="A12" s="12">
        <v>5</v>
      </c>
      <c r="B12" s="11" t="s">
        <v>141</v>
      </c>
      <c r="C12" s="12">
        <v>7.97</v>
      </c>
      <c r="D12" s="16">
        <f>(C12*100)/C8</f>
        <v>110.84840055632823</v>
      </c>
      <c r="E12" s="12">
        <f>6*2</f>
        <v>12</v>
      </c>
      <c r="F12" s="12">
        <v>8</v>
      </c>
      <c r="G12" s="12">
        <v>75</v>
      </c>
      <c r="H12" s="12">
        <v>90</v>
      </c>
      <c r="I12" s="12">
        <v>814</v>
      </c>
      <c r="J12" s="12">
        <v>9</v>
      </c>
      <c r="K12" s="17">
        <v>12</v>
      </c>
      <c r="L12" s="12">
        <v>6</v>
      </c>
      <c r="M12" s="17">
        <v>45</v>
      </c>
      <c r="N12" s="12">
        <v>7</v>
      </c>
      <c r="O12" s="12">
        <v>21.4</v>
      </c>
      <c r="P12" s="12">
        <v>4</v>
      </c>
      <c r="Q12" s="12">
        <v>41.2</v>
      </c>
      <c r="R12" s="12">
        <v>7</v>
      </c>
      <c r="S12" s="12">
        <v>241</v>
      </c>
      <c r="T12" s="12">
        <v>7</v>
      </c>
      <c r="U12" s="12">
        <v>67.3</v>
      </c>
      <c r="V12" s="12">
        <v>5</v>
      </c>
      <c r="W12" s="131">
        <f t="shared" si="0"/>
        <v>57</v>
      </c>
    </row>
    <row r="13" spans="1:23" s="4" customFormat="1" ht="12.75" x14ac:dyDescent="0.2">
      <c r="A13" s="12">
        <v>6</v>
      </c>
      <c r="B13" s="11" t="s">
        <v>142</v>
      </c>
      <c r="C13" s="12">
        <v>8.26</v>
      </c>
      <c r="D13" s="16">
        <f>(C13*100)/C8</f>
        <v>114.8817802503477</v>
      </c>
      <c r="E13" s="12">
        <f>6*2</f>
        <v>12</v>
      </c>
      <c r="F13" s="12">
        <v>7</v>
      </c>
      <c r="G13" s="12">
        <v>82</v>
      </c>
      <c r="H13" s="12">
        <v>85</v>
      </c>
      <c r="I13" s="12">
        <v>774</v>
      </c>
      <c r="J13" s="12">
        <v>7</v>
      </c>
      <c r="K13" s="17">
        <v>13</v>
      </c>
      <c r="L13" s="12">
        <v>6</v>
      </c>
      <c r="M13" s="12">
        <v>39.9</v>
      </c>
      <c r="N13" s="12">
        <v>6</v>
      </c>
      <c r="O13" s="12">
        <v>25.3</v>
      </c>
      <c r="P13" s="12">
        <v>8</v>
      </c>
      <c r="Q13" s="12">
        <v>44.5</v>
      </c>
      <c r="R13" s="12">
        <v>7</v>
      </c>
      <c r="S13" s="12">
        <v>334</v>
      </c>
      <c r="T13" s="12">
        <v>7</v>
      </c>
      <c r="U13" s="12">
        <v>66.099999999999994</v>
      </c>
      <c r="V13" s="12">
        <v>3</v>
      </c>
      <c r="W13" s="131">
        <f t="shared" si="0"/>
        <v>56</v>
      </c>
    </row>
    <row r="14" spans="1:23" s="4" customFormat="1" ht="12.75" x14ac:dyDescent="0.2">
      <c r="A14" s="12">
        <v>7</v>
      </c>
      <c r="B14" s="11" t="s">
        <v>143</v>
      </c>
      <c r="C14" s="12">
        <v>9.09</v>
      </c>
      <c r="D14" s="16">
        <f>(C14*100)/C8</f>
        <v>126.42559109874826</v>
      </c>
      <c r="E14" s="12">
        <f>8*2</f>
        <v>16</v>
      </c>
      <c r="F14" s="12">
        <v>9</v>
      </c>
      <c r="G14" s="12">
        <v>85</v>
      </c>
      <c r="H14" s="12">
        <v>90</v>
      </c>
      <c r="I14" s="12">
        <v>799</v>
      </c>
      <c r="J14" s="12">
        <v>9</v>
      </c>
      <c r="K14" s="17">
        <v>12.8</v>
      </c>
      <c r="L14" s="12">
        <v>6</v>
      </c>
      <c r="M14" s="12">
        <v>42.7</v>
      </c>
      <c r="N14" s="12">
        <v>7</v>
      </c>
      <c r="O14" s="12">
        <v>23.2</v>
      </c>
      <c r="P14" s="12">
        <v>7</v>
      </c>
      <c r="Q14" s="12">
        <v>43.8</v>
      </c>
      <c r="R14" s="12">
        <v>7</v>
      </c>
      <c r="S14" s="12">
        <v>312</v>
      </c>
      <c r="T14" s="12">
        <v>7</v>
      </c>
      <c r="U14" s="12">
        <v>66.099999999999994</v>
      </c>
      <c r="V14" s="12">
        <v>3</v>
      </c>
      <c r="W14" s="131">
        <f t="shared" si="0"/>
        <v>62</v>
      </c>
    </row>
    <row r="15" spans="1:23" s="4" customFormat="1" ht="12.75" x14ac:dyDescent="0.2">
      <c r="A15" s="5" t="s">
        <v>216</v>
      </c>
      <c r="W15" s="145"/>
    </row>
    <row r="16" spans="1:23" s="4" customFormat="1" ht="12.75" x14ac:dyDescent="0.2">
      <c r="A16" s="12">
        <v>1</v>
      </c>
      <c r="B16" s="11" t="s">
        <v>137</v>
      </c>
      <c r="C16" s="14">
        <v>5.97</v>
      </c>
      <c r="D16" s="12">
        <v>100</v>
      </c>
      <c r="E16" s="12">
        <f>5*2</f>
        <v>10</v>
      </c>
      <c r="F16" s="12">
        <v>5</v>
      </c>
      <c r="G16" s="12">
        <v>94</v>
      </c>
      <c r="H16" s="12">
        <v>82</v>
      </c>
      <c r="I16" s="16">
        <v>772</v>
      </c>
      <c r="J16" s="16">
        <v>7</v>
      </c>
      <c r="K16" s="17">
        <v>13.7</v>
      </c>
      <c r="L16" s="12">
        <v>7</v>
      </c>
      <c r="M16" s="17">
        <v>38.840000000000003</v>
      </c>
      <c r="N16" s="16">
        <v>6</v>
      </c>
      <c r="O16" s="12">
        <v>30.1</v>
      </c>
      <c r="P16" s="12">
        <v>9</v>
      </c>
      <c r="Q16" s="17">
        <v>50.9</v>
      </c>
      <c r="R16" s="16">
        <v>8</v>
      </c>
      <c r="S16" s="16">
        <v>300</v>
      </c>
      <c r="T16" s="16">
        <v>9</v>
      </c>
      <c r="U16" s="17">
        <v>66.3</v>
      </c>
      <c r="V16" s="16">
        <v>3</v>
      </c>
      <c r="W16" s="131">
        <f>E16+J16+L16+N16+P16+R16+T16+V16</f>
        <v>59</v>
      </c>
    </row>
    <row r="17" spans="1:23" s="4" customFormat="1" ht="12.75" x14ac:dyDescent="0.2">
      <c r="A17" s="12">
        <v>2</v>
      </c>
      <c r="B17" s="11" t="s">
        <v>138</v>
      </c>
      <c r="C17" s="12">
        <v>6.57</v>
      </c>
      <c r="D17" s="16">
        <f>(C17*100)/C16</f>
        <v>110.05025125628141</v>
      </c>
      <c r="E17" s="12">
        <f>6*2</f>
        <v>12</v>
      </c>
      <c r="F17" s="12">
        <v>5</v>
      </c>
      <c r="G17" s="12">
        <v>93</v>
      </c>
      <c r="H17" s="12">
        <v>82</v>
      </c>
      <c r="I17" s="12">
        <v>784</v>
      </c>
      <c r="J17" s="12">
        <v>7</v>
      </c>
      <c r="K17" s="17">
        <v>12.7</v>
      </c>
      <c r="L17" s="12">
        <v>6</v>
      </c>
      <c r="M17" s="17">
        <v>44.81</v>
      </c>
      <c r="N17" s="12">
        <v>7</v>
      </c>
      <c r="O17" s="12">
        <v>26.4</v>
      </c>
      <c r="P17" s="12">
        <v>8</v>
      </c>
      <c r="Q17" s="12">
        <v>44.3</v>
      </c>
      <c r="R17" s="12">
        <v>7</v>
      </c>
      <c r="S17" s="12">
        <v>283</v>
      </c>
      <c r="T17" s="12">
        <v>9</v>
      </c>
      <c r="U17" s="12">
        <v>66.8</v>
      </c>
      <c r="V17" s="12">
        <v>4</v>
      </c>
      <c r="W17" s="131">
        <f t="shared" ref="W17:W22" si="1">E17+J17+L17+N17+P17+R17+T17+V17</f>
        <v>60</v>
      </c>
    </row>
    <row r="18" spans="1:23" s="4" customFormat="1" ht="12.75" x14ac:dyDescent="0.2">
      <c r="A18" s="12">
        <v>3</v>
      </c>
      <c r="B18" s="11" t="s">
        <v>139</v>
      </c>
      <c r="C18" s="12">
        <v>6.58</v>
      </c>
      <c r="D18" s="16">
        <f>(C18*100)/C16</f>
        <v>110.21775544388611</v>
      </c>
      <c r="E18" s="12">
        <f>6*2</f>
        <v>12</v>
      </c>
      <c r="F18" s="12">
        <v>8</v>
      </c>
      <c r="G18" s="12">
        <v>88</v>
      </c>
      <c r="H18" s="12">
        <v>82</v>
      </c>
      <c r="I18" s="12">
        <v>791</v>
      </c>
      <c r="J18" s="12">
        <v>8</v>
      </c>
      <c r="K18" s="17">
        <v>12.8</v>
      </c>
      <c r="L18" s="12">
        <v>6</v>
      </c>
      <c r="M18" s="17">
        <v>44.09</v>
      </c>
      <c r="N18" s="12">
        <v>7</v>
      </c>
      <c r="O18" s="12">
        <v>26.9</v>
      </c>
      <c r="P18" s="12">
        <v>8</v>
      </c>
      <c r="Q18" s="12">
        <v>43.8</v>
      </c>
      <c r="R18" s="12">
        <v>7</v>
      </c>
      <c r="S18" s="12">
        <v>290</v>
      </c>
      <c r="T18" s="12">
        <v>9</v>
      </c>
      <c r="U18" s="17">
        <v>67.599999999999994</v>
      </c>
      <c r="V18" s="12">
        <v>5</v>
      </c>
      <c r="W18" s="131">
        <f t="shared" si="1"/>
        <v>62</v>
      </c>
    </row>
    <row r="19" spans="1:23" s="4" customFormat="1" ht="12.75" x14ac:dyDescent="0.2">
      <c r="A19" s="12">
        <v>4</v>
      </c>
      <c r="B19" s="11" t="s">
        <v>140</v>
      </c>
      <c r="C19" s="12">
        <v>6.54</v>
      </c>
      <c r="D19" s="16">
        <f>(C19*100)/C16</f>
        <v>109.54773869346734</v>
      </c>
      <c r="E19" s="12">
        <f>6*2</f>
        <v>12</v>
      </c>
      <c r="F19" s="12">
        <v>7</v>
      </c>
      <c r="G19" s="12">
        <v>92</v>
      </c>
      <c r="H19" s="12">
        <v>82</v>
      </c>
      <c r="I19" s="12">
        <v>792</v>
      </c>
      <c r="J19" s="12">
        <v>8</v>
      </c>
      <c r="K19" s="17">
        <v>12.8</v>
      </c>
      <c r="L19" s="12">
        <v>6</v>
      </c>
      <c r="M19" s="17">
        <v>41.36</v>
      </c>
      <c r="N19" s="12">
        <v>6</v>
      </c>
      <c r="O19" s="12">
        <v>27.3</v>
      </c>
      <c r="P19" s="12">
        <v>8</v>
      </c>
      <c r="Q19" s="12">
        <v>45.3</v>
      </c>
      <c r="R19" s="12">
        <v>7</v>
      </c>
      <c r="S19" s="12">
        <v>259</v>
      </c>
      <c r="T19" s="12">
        <v>9</v>
      </c>
      <c r="U19" s="12">
        <v>67.3</v>
      </c>
      <c r="V19" s="12">
        <v>5</v>
      </c>
      <c r="W19" s="131">
        <f t="shared" si="1"/>
        <v>61</v>
      </c>
    </row>
    <row r="20" spans="1:23" s="4" customFormat="1" ht="12.75" x14ac:dyDescent="0.2">
      <c r="A20" s="12">
        <v>5</v>
      </c>
      <c r="B20" s="11" t="s">
        <v>141</v>
      </c>
      <c r="C20" s="12">
        <v>7.09</v>
      </c>
      <c r="D20" s="16">
        <f>(C20*100)/C16</f>
        <v>118.76046901172529</v>
      </c>
      <c r="E20" s="12">
        <f>7*2</f>
        <v>14</v>
      </c>
      <c r="F20" s="12">
        <v>7</v>
      </c>
      <c r="G20" s="12">
        <v>90</v>
      </c>
      <c r="H20" s="12">
        <v>86</v>
      </c>
      <c r="I20" s="16">
        <v>766</v>
      </c>
      <c r="J20" s="16">
        <v>6</v>
      </c>
      <c r="K20" s="17">
        <v>14.4</v>
      </c>
      <c r="L20" s="12">
        <v>8</v>
      </c>
      <c r="M20" s="17">
        <v>45.36</v>
      </c>
      <c r="N20" s="12">
        <v>7</v>
      </c>
      <c r="O20" s="12">
        <v>31.4</v>
      </c>
      <c r="P20" s="12">
        <v>9</v>
      </c>
      <c r="Q20" s="17">
        <v>58.7</v>
      </c>
      <c r="R20" s="16">
        <v>9</v>
      </c>
      <c r="S20" s="16">
        <v>152</v>
      </c>
      <c r="T20" s="16">
        <v>1</v>
      </c>
      <c r="U20" s="17">
        <v>66.599999999999994</v>
      </c>
      <c r="V20" s="16">
        <v>4</v>
      </c>
      <c r="W20" s="131">
        <f t="shared" si="1"/>
        <v>58</v>
      </c>
    </row>
    <row r="21" spans="1:23" s="4" customFormat="1" ht="12.75" x14ac:dyDescent="0.2">
      <c r="A21" s="12">
        <v>6</v>
      </c>
      <c r="B21" s="11" t="s">
        <v>142</v>
      </c>
      <c r="C21" s="12">
        <v>6.45</v>
      </c>
      <c r="D21" s="16">
        <f>(C21*100)/C16</f>
        <v>108.04020100502512</v>
      </c>
      <c r="E21" s="12">
        <f>6*2</f>
        <v>12</v>
      </c>
      <c r="F21" s="12">
        <v>6</v>
      </c>
      <c r="G21" s="12">
        <v>96</v>
      </c>
      <c r="H21" s="12">
        <v>86</v>
      </c>
      <c r="I21" s="12">
        <v>777</v>
      </c>
      <c r="J21" s="12">
        <v>7</v>
      </c>
      <c r="K21" s="17">
        <v>12.7</v>
      </c>
      <c r="L21" s="12">
        <v>6</v>
      </c>
      <c r="M21" s="17">
        <v>43.18</v>
      </c>
      <c r="N21" s="12">
        <v>7</v>
      </c>
      <c r="O21" s="12">
        <v>26.5</v>
      </c>
      <c r="P21" s="12">
        <v>8</v>
      </c>
      <c r="Q21" s="12">
        <v>41.2</v>
      </c>
      <c r="R21" s="12">
        <v>7</v>
      </c>
      <c r="S21" s="12">
        <v>280</v>
      </c>
      <c r="T21" s="12">
        <v>9</v>
      </c>
      <c r="U21" s="12">
        <v>67.3</v>
      </c>
      <c r="V21" s="12">
        <v>5</v>
      </c>
      <c r="W21" s="131">
        <f t="shared" si="1"/>
        <v>61</v>
      </c>
    </row>
    <row r="22" spans="1:23" s="4" customFormat="1" ht="12.75" x14ac:dyDescent="0.2">
      <c r="A22" s="12">
        <v>7</v>
      </c>
      <c r="B22" s="11" t="s">
        <v>143</v>
      </c>
      <c r="C22" s="12">
        <v>6.36</v>
      </c>
      <c r="D22" s="16">
        <f>(C22*100)/C16</f>
        <v>106.53266331658291</v>
      </c>
      <c r="E22" s="12">
        <f>6*2</f>
        <v>12</v>
      </c>
      <c r="F22" s="12">
        <v>7</v>
      </c>
      <c r="G22" s="12">
        <v>79</v>
      </c>
      <c r="H22" s="12">
        <v>86</v>
      </c>
      <c r="I22" s="12">
        <v>780</v>
      </c>
      <c r="J22" s="12">
        <v>7</v>
      </c>
      <c r="K22" s="17">
        <v>12.7</v>
      </c>
      <c r="L22" s="12">
        <v>6</v>
      </c>
      <c r="M22" s="17">
        <v>49.1</v>
      </c>
      <c r="N22" s="12">
        <v>8</v>
      </c>
      <c r="O22" s="12">
        <v>26.9</v>
      </c>
      <c r="P22" s="12">
        <v>8</v>
      </c>
      <c r="Q22" s="12">
        <v>41.8</v>
      </c>
      <c r="R22" s="12">
        <v>7</v>
      </c>
      <c r="S22" s="12">
        <v>342</v>
      </c>
      <c r="T22" s="12">
        <v>5</v>
      </c>
      <c r="U22" s="12">
        <v>67.599999999999994</v>
      </c>
      <c r="V22" s="12">
        <v>5</v>
      </c>
      <c r="W22" s="131">
        <f t="shared" si="1"/>
        <v>58</v>
      </c>
    </row>
    <row r="23" spans="1:23" s="4" customFormat="1" ht="12.75" x14ac:dyDescent="0.2">
      <c r="A23" s="5" t="s">
        <v>115</v>
      </c>
      <c r="W23" s="145"/>
    </row>
    <row r="24" spans="1:23" s="4" customFormat="1" ht="12.75" x14ac:dyDescent="0.2">
      <c r="A24" s="12">
        <v>1</v>
      </c>
      <c r="B24" s="11" t="s">
        <v>137</v>
      </c>
      <c r="C24" s="12">
        <v>2.63</v>
      </c>
      <c r="D24" s="12">
        <v>100</v>
      </c>
      <c r="E24" s="12">
        <f>5*2</f>
        <v>10</v>
      </c>
      <c r="F24" s="12">
        <v>8</v>
      </c>
      <c r="G24" s="12">
        <v>66</v>
      </c>
      <c r="H24" s="12">
        <v>80</v>
      </c>
      <c r="I24" s="16">
        <v>764</v>
      </c>
      <c r="J24" s="12">
        <v>6</v>
      </c>
      <c r="K24" s="17">
        <v>15.2</v>
      </c>
      <c r="L24" s="12">
        <v>8</v>
      </c>
      <c r="M24" s="12">
        <v>38.799999999999997</v>
      </c>
      <c r="N24" s="12">
        <v>6</v>
      </c>
      <c r="O24" s="17">
        <v>29.7</v>
      </c>
      <c r="P24" s="12">
        <v>9</v>
      </c>
      <c r="Q24" s="12">
        <v>59.9</v>
      </c>
      <c r="R24" s="12">
        <v>9</v>
      </c>
      <c r="S24" s="12">
        <v>243</v>
      </c>
      <c r="T24" s="12">
        <v>7</v>
      </c>
      <c r="U24" s="17">
        <v>65.5</v>
      </c>
      <c r="V24" s="12">
        <v>2</v>
      </c>
      <c r="W24" s="131">
        <f>E24+J24+L24+N24+P24+R24+T24+V24</f>
        <v>57</v>
      </c>
    </row>
    <row r="25" spans="1:23" s="4" customFormat="1" ht="12.75" x14ac:dyDescent="0.2">
      <c r="A25" s="12">
        <v>2</v>
      </c>
      <c r="B25" s="11" t="s">
        <v>138</v>
      </c>
      <c r="C25" s="12">
        <v>2.42</v>
      </c>
      <c r="D25" s="16">
        <f>(C25*100)/C24</f>
        <v>92.015209125475295</v>
      </c>
      <c r="E25" s="12">
        <f>4*2</f>
        <v>8</v>
      </c>
      <c r="F25" s="12">
        <v>8</v>
      </c>
      <c r="G25" s="12">
        <v>74</v>
      </c>
      <c r="H25" s="12">
        <v>80</v>
      </c>
      <c r="I25" s="12">
        <v>775</v>
      </c>
      <c r="J25" s="12">
        <v>7</v>
      </c>
      <c r="K25" s="17">
        <v>14.5</v>
      </c>
      <c r="L25" s="12">
        <v>8</v>
      </c>
      <c r="M25" s="12">
        <v>37.799999999999997</v>
      </c>
      <c r="N25" s="12">
        <v>6</v>
      </c>
      <c r="O25" s="12">
        <v>30.6</v>
      </c>
      <c r="P25" s="12">
        <v>9</v>
      </c>
      <c r="Q25" s="12">
        <v>59.5</v>
      </c>
      <c r="R25" s="12">
        <v>9</v>
      </c>
      <c r="S25" s="12">
        <v>204</v>
      </c>
      <c r="T25" s="12">
        <v>3</v>
      </c>
      <c r="U25" s="12">
        <v>64.8</v>
      </c>
      <c r="V25" s="12">
        <v>1</v>
      </c>
      <c r="W25" s="131">
        <f t="shared" ref="W25:W30" si="2">E25+J25+L25+N25+P25+R25+T25+V25</f>
        <v>51</v>
      </c>
    </row>
    <row r="26" spans="1:23" s="4" customFormat="1" ht="12.75" x14ac:dyDescent="0.2">
      <c r="A26" s="12">
        <v>3</v>
      </c>
      <c r="B26" s="11" t="s">
        <v>139</v>
      </c>
      <c r="C26" s="12">
        <v>3.07</v>
      </c>
      <c r="D26" s="16">
        <f>(C26*100)/C24</f>
        <v>116.73003802281369</v>
      </c>
      <c r="E26" s="12">
        <f>7*2</f>
        <v>14</v>
      </c>
      <c r="F26" s="12">
        <v>9</v>
      </c>
      <c r="G26" s="12">
        <v>68</v>
      </c>
      <c r="H26" s="12">
        <v>79</v>
      </c>
      <c r="I26" s="12">
        <v>769</v>
      </c>
      <c r="J26" s="12">
        <v>6</v>
      </c>
      <c r="K26" s="12">
        <v>15.4</v>
      </c>
      <c r="L26" s="12">
        <v>8</v>
      </c>
      <c r="M26" s="17">
        <v>36</v>
      </c>
      <c r="N26" s="12">
        <v>5</v>
      </c>
      <c r="O26" s="17">
        <v>33</v>
      </c>
      <c r="P26" s="12">
        <v>9</v>
      </c>
      <c r="Q26" s="17">
        <v>64.7</v>
      </c>
      <c r="R26" s="12">
        <v>9</v>
      </c>
      <c r="S26" s="12">
        <v>227</v>
      </c>
      <c r="T26" s="12">
        <v>7</v>
      </c>
      <c r="U26" s="12">
        <v>64.599999999999994</v>
      </c>
      <c r="V26" s="12">
        <v>1</v>
      </c>
      <c r="W26" s="131">
        <f t="shared" si="2"/>
        <v>59</v>
      </c>
    </row>
    <row r="27" spans="1:23" s="4" customFormat="1" ht="12.75" x14ac:dyDescent="0.2">
      <c r="A27" s="12">
        <v>4</v>
      </c>
      <c r="B27" s="11" t="s">
        <v>140</v>
      </c>
      <c r="C27" s="12">
        <v>3.26</v>
      </c>
      <c r="D27" s="16">
        <f>(C27*100)/C24</f>
        <v>123.95437262357414</v>
      </c>
      <c r="E27" s="12">
        <f>7*2</f>
        <v>14</v>
      </c>
      <c r="F27" s="12">
        <v>9</v>
      </c>
      <c r="G27" s="12">
        <v>68</v>
      </c>
      <c r="H27" s="12">
        <v>79</v>
      </c>
      <c r="I27" s="12">
        <v>783</v>
      </c>
      <c r="J27" s="12">
        <v>7</v>
      </c>
      <c r="K27" s="12">
        <v>14.4</v>
      </c>
      <c r="L27" s="12">
        <v>8</v>
      </c>
      <c r="M27" s="12">
        <v>33.799999999999997</v>
      </c>
      <c r="N27" s="12">
        <v>5</v>
      </c>
      <c r="O27" s="12">
        <v>29.3</v>
      </c>
      <c r="P27" s="12">
        <v>9</v>
      </c>
      <c r="Q27" s="12">
        <v>58.4</v>
      </c>
      <c r="R27" s="12">
        <v>9</v>
      </c>
      <c r="S27" s="12">
        <v>233</v>
      </c>
      <c r="T27" s="12">
        <v>7</v>
      </c>
      <c r="U27" s="17">
        <v>66</v>
      </c>
      <c r="V27" s="12">
        <v>3</v>
      </c>
      <c r="W27" s="131">
        <f t="shared" si="2"/>
        <v>62</v>
      </c>
    </row>
    <row r="28" spans="1:23" s="4" customFormat="1" ht="12.75" x14ac:dyDescent="0.2">
      <c r="A28" s="12">
        <v>5</v>
      </c>
      <c r="B28" s="11" t="s">
        <v>141</v>
      </c>
      <c r="C28" s="12">
        <v>2.69</v>
      </c>
      <c r="D28" s="16">
        <f>(C28*100)/C24</f>
        <v>102.28136882129277</v>
      </c>
      <c r="E28" s="12">
        <f>5*2</f>
        <v>10</v>
      </c>
      <c r="F28" s="12">
        <v>8</v>
      </c>
      <c r="G28" s="12">
        <v>63</v>
      </c>
      <c r="H28" s="12">
        <v>85</v>
      </c>
      <c r="I28" s="12">
        <v>738</v>
      </c>
      <c r="J28" s="12">
        <v>5</v>
      </c>
      <c r="K28" s="12">
        <v>14.9</v>
      </c>
      <c r="L28" s="12">
        <v>8</v>
      </c>
      <c r="M28" s="12">
        <v>40.4</v>
      </c>
      <c r="N28" s="12">
        <v>6</v>
      </c>
      <c r="O28" s="12">
        <v>30.9</v>
      </c>
      <c r="P28" s="12">
        <v>9</v>
      </c>
      <c r="Q28" s="12">
        <v>58.3</v>
      </c>
      <c r="R28" s="12">
        <v>9</v>
      </c>
      <c r="S28" s="12">
        <v>278</v>
      </c>
      <c r="T28" s="12">
        <v>9</v>
      </c>
      <c r="U28" s="12">
        <v>64.099999999999994</v>
      </c>
      <c r="V28" s="12">
        <v>1</v>
      </c>
      <c r="W28" s="131">
        <f t="shared" si="2"/>
        <v>57</v>
      </c>
    </row>
    <row r="29" spans="1:23" s="4" customFormat="1" ht="12.75" x14ac:dyDescent="0.2">
      <c r="A29" s="12">
        <v>6</v>
      </c>
      <c r="B29" s="11" t="s">
        <v>142</v>
      </c>
      <c r="C29" s="12">
        <v>2.99</v>
      </c>
      <c r="D29" s="16">
        <f>(C29*100)/C24</f>
        <v>113.68821292775665</v>
      </c>
      <c r="E29" s="12">
        <f>6*2</f>
        <v>12</v>
      </c>
      <c r="F29" s="12">
        <v>9</v>
      </c>
      <c r="G29" s="12">
        <v>70</v>
      </c>
      <c r="H29" s="12">
        <v>79</v>
      </c>
      <c r="I29" s="12">
        <v>753</v>
      </c>
      <c r="J29" s="12">
        <v>6</v>
      </c>
      <c r="K29" s="17">
        <v>15</v>
      </c>
      <c r="L29" s="12">
        <v>8</v>
      </c>
      <c r="M29" s="12">
        <v>37.200000000000003</v>
      </c>
      <c r="N29" s="12">
        <v>6</v>
      </c>
      <c r="O29" s="17">
        <v>31.8</v>
      </c>
      <c r="P29" s="12">
        <v>9</v>
      </c>
      <c r="Q29" s="12">
        <v>61.6</v>
      </c>
      <c r="R29" s="12">
        <v>9</v>
      </c>
      <c r="S29" s="12">
        <v>245</v>
      </c>
      <c r="T29" s="12">
        <v>7</v>
      </c>
      <c r="U29" s="12">
        <v>64.2</v>
      </c>
      <c r="V29" s="12">
        <v>1</v>
      </c>
      <c r="W29" s="131">
        <f t="shared" si="2"/>
        <v>58</v>
      </c>
    </row>
    <row r="30" spans="1:23" s="4" customFormat="1" ht="12.75" x14ac:dyDescent="0.2">
      <c r="A30" s="12">
        <v>7</v>
      </c>
      <c r="B30" s="11" t="s">
        <v>143</v>
      </c>
      <c r="C30" s="12">
        <v>2.72</v>
      </c>
      <c r="D30" s="16">
        <f>(C30*100)/C24</f>
        <v>103.42205323193917</v>
      </c>
      <c r="E30" s="12">
        <f>5*2</f>
        <v>10</v>
      </c>
      <c r="F30" s="12">
        <v>8</v>
      </c>
      <c r="G30" s="12">
        <v>67</v>
      </c>
      <c r="H30" s="12">
        <v>85</v>
      </c>
      <c r="I30" s="12">
        <v>743</v>
      </c>
      <c r="J30" s="12">
        <v>5</v>
      </c>
      <c r="K30" s="12">
        <v>14.4</v>
      </c>
      <c r="L30" s="12">
        <v>8</v>
      </c>
      <c r="M30" s="12">
        <v>43.2</v>
      </c>
      <c r="N30" s="12">
        <v>7</v>
      </c>
      <c r="O30" s="12">
        <v>29.4</v>
      </c>
      <c r="P30" s="12">
        <v>9</v>
      </c>
      <c r="Q30" s="17">
        <v>56.6</v>
      </c>
      <c r="R30" s="12">
        <v>9</v>
      </c>
      <c r="S30" s="12">
        <v>385</v>
      </c>
      <c r="T30" s="12">
        <v>5</v>
      </c>
      <c r="U30" s="12">
        <v>64.7</v>
      </c>
      <c r="V30" s="12">
        <v>1</v>
      </c>
      <c r="W30" s="131">
        <f t="shared" si="2"/>
        <v>54</v>
      </c>
    </row>
    <row r="31" spans="1:23" s="4" customFormat="1" ht="12.75" x14ac:dyDescent="0.2">
      <c r="A31" s="5" t="s">
        <v>29</v>
      </c>
      <c r="W31" s="145"/>
    </row>
    <row r="32" spans="1:23" s="4" customFormat="1" ht="12.75" x14ac:dyDescent="0.2">
      <c r="A32" s="12">
        <v>1</v>
      </c>
      <c r="B32" s="11" t="s">
        <v>137</v>
      </c>
      <c r="C32" s="14">
        <f t="shared" ref="C32:C38" si="3">(C8+C16+C24)/3</f>
        <v>5.2633333333333328</v>
      </c>
      <c r="D32" s="12">
        <v>100</v>
      </c>
      <c r="E32" s="12">
        <f>5*2</f>
        <v>10</v>
      </c>
      <c r="F32" s="16">
        <f t="shared" ref="F32:I38" si="4">(F8+F16+F24)/3</f>
        <v>7</v>
      </c>
      <c r="G32" s="16">
        <f t="shared" si="4"/>
        <v>79.666666666666671</v>
      </c>
      <c r="H32" s="16">
        <f t="shared" si="4"/>
        <v>84</v>
      </c>
      <c r="I32" s="16">
        <f t="shared" si="4"/>
        <v>766.66666666666663</v>
      </c>
      <c r="J32" s="12">
        <v>6</v>
      </c>
      <c r="K32" s="17">
        <f t="shared" ref="K32:K38" si="5">(K8+K16+K24)/3</f>
        <v>13.9</v>
      </c>
      <c r="L32" s="12">
        <v>7</v>
      </c>
      <c r="M32" s="17">
        <f t="shared" ref="M32:M38" si="6">(M8+M16+M24)/3</f>
        <v>38.046666666666667</v>
      </c>
      <c r="N32" s="12">
        <v>6</v>
      </c>
      <c r="O32" s="17">
        <f t="shared" ref="O32:O38" si="7">(O8+O16+O24)/3</f>
        <v>27.333333333333332</v>
      </c>
      <c r="P32" s="12">
        <v>8</v>
      </c>
      <c r="Q32" s="17">
        <f t="shared" ref="Q32:Q38" si="8">(Q8+Q16+Q24)/3</f>
        <v>49.966666666666669</v>
      </c>
      <c r="R32" s="12">
        <v>8</v>
      </c>
      <c r="S32" s="16">
        <f t="shared" ref="S32:S38" si="9">(S8+S16+S24)/3</f>
        <v>254.66666666666666</v>
      </c>
      <c r="T32" s="12">
        <v>9</v>
      </c>
      <c r="U32" s="17">
        <f t="shared" ref="U32:U38" si="10">(U8+U16+U24)/3</f>
        <v>66.3</v>
      </c>
      <c r="V32" s="12">
        <v>3</v>
      </c>
      <c r="W32" s="131">
        <f>E32+J32+L32+N32+P32+R32+T32+V32</f>
        <v>57</v>
      </c>
    </row>
    <row r="33" spans="1:23" s="4" customFormat="1" ht="12.75" x14ac:dyDescent="0.2">
      <c r="A33" s="12">
        <v>2</v>
      </c>
      <c r="B33" s="11" t="s">
        <v>138</v>
      </c>
      <c r="C33" s="14">
        <f t="shared" si="3"/>
        <v>5.5266666666666664</v>
      </c>
      <c r="D33" s="16">
        <f>(C33*100)/C32</f>
        <v>105.00316656111464</v>
      </c>
      <c r="E33" s="12">
        <f>5*2</f>
        <v>10</v>
      </c>
      <c r="F33" s="16">
        <f t="shared" si="4"/>
        <v>6.333333333333333</v>
      </c>
      <c r="G33" s="16">
        <f t="shared" si="4"/>
        <v>81.666666666666671</v>
      </c>
      <c r="H33" s="16">
        <f t="shared" si="4"/>
        <v>84</v>
      </c>
      <c r="I33" s="16">
        <f t="shared" si="4"/>
        <v>784.66666666666663</v>
      </c>
      <c r="J33" s="12">
        <v>7</v>
      </c>
      <c r="K33" s="17">
        <f t="shared" si="5"/>
        <v>13.133333333333333</v>
      </c>
      <c r="L33" s="12">
        <v>7</v>
      </c>
      <c r="M33" s="17">
        <f t="shared" si="6"/>
        <v>41.336666666666666</v>
      </c>
      <c r="N33" s="12">
        <v>6</v>
      </c>
      <c r="O33" s="17">
        <f t="shared" si="7"/>
        <v>26.266666666666669</v>
      </c>
      <c r="P33" s="12">
        <v>8</v>
      </c>
      <c r="Q33" s="17">
        <f t="shared" si="8"/>
        <v>47.766666666666673</v>
      </c>
      <c r="R33" s="12">
        <v>8</v>
      </c>
      <c r="S33" s="16">
        <f t="shared" si="9"/>
        <v>265.33333333333331</v>
      </c>
      <c r="T33" s="12">
        <v>9</v>
      </c>
      <c r="U33" s="17">
        <f t="shared" si="10"/>
        <v>66.100000000000009</v>
      </c>
      <c r="V33" s="12">
        <v>3</v>
      </c>
      <c r="W33" s="131">
        <f t="shared" ref="W33:W38" si="11">E33+J33+L33+N33+P33+R33+T33+V33</f>
        <v>58</v>
      </c>
    </row>
    <row r="34" spans="1:23" s="4" customFormat="1" ht="12.75" x14ac:dyDescent="0.2">
      <c r="A34" s="12">
        <v>3</v>
      </c>
      <c r="B34" s="11" t="s">
        <v>139</v>
      </c>
      <c r="C34" s="14">
        <f t="shared" si="3"/>
        <v>5.96</v>
      </c>
      <c r="D34" s="16">
        <f>(C34*100)/C32</f>
        <v>113.23622545915137</v>
      </c>
      <c r="E34" s="12">
        <f>6*2</f>
        <v>12</v>
      </c>
      <c r="F34" s="16">
        <f t="shared" si="4"/>
        <v>8.6666666666666661</v>
      </c>
      <c r="G34" s="16">
        <f t="shared" si="4"/>
        <v>80.666666666666671</v>
      </c>
      <c r="H34" s="16">
        <f t="shared" si="4"/>
        <v>82</v>
      </c>
      <c r="I34" s="16">
        <f t="shared" si="4"/>
        <v>782.66666666666663</v>
      </c>
      <c r="J34" s="12">
        <v>7</v>
      </c>
      <c r="K34" s="17">
        <f t="shared" si="5"/>
        <v>13.6</v>
      </c>
      <c r="L34" s="12">
        <v>7</v>
      </c>
      <c r="M34" s="17">
        <f t="shared" si="6"/>
        <v>41.563333333333333</v>
      </c>
      <c r="N34" s="12">
        <v>6</v>
      </c>
      <c r="O34" s="17">
        <f t="shared" si="7"/>
        <v>28.133333333333336</v>
      </c>
      <c r="P34" s="12">
        <v>8</v>
      </c>
      <c r="Q34" s="17">
        <f t="shared" si="8"/>
        <v>50.79999999999999</v>
      </c>
      <c r="R34" s="12">
        <v>8</v>
      </c>
      <c r="S34" s="16">
        <f t="shared" si="9"/>
        <v>274</v>
      </c>
      <c r="T34" s="12">
        <v>9</v>
      </c>
      <c r="U34" s="17">
        <f t="shared" si="10"/>
        <v>66.766666666666666</v>
      </c>
      <c r="V34" s="12">
        <v>4</v>
      </c>
      <c r="W34" s="131">
        <f t="shared" si="11"/>
        <v>61</v>
      </c>
    </row>
    <row r="35" spans="1:23" s="4" customFormat="1" ht="12.75" x14ac:dyDescent="0.2">
      <c r="A35" s="12">
        <v>4</v>
      </c>
      <c r="B35" s="11" t="s">
        <v>140</v>
      </c>
      <c r="C35" s="14">
        <f t="shared" si="3"/>
        <v>6.1566666666666663</v>
      </c>
      <c r="D35" s="16">
        <f>(C35*100)/C32</f>
        <v>116.97276757441419</v>
      </c>
      <c r="E35" s="12">
        <f>7*2</f>
        <v>14</v>
      </c>
      <c r="F35" s="16">
        <f t="shared" si="4"/>
        <v>8</v>
      </c>
      <c r="G35" s="16">
        <f t="shared" si="4"/>
        <v>80.333333333333329</v>
      </c>
      <c r="H35" s="16">
        <f t="shared" si="4"/>
        <v>83.666666666666671</v>
      </c>
      <c r="I35" s="16">
        <f t="shared" si="4"/>
        <v>786</v>
      </c>
      <c r="J35" s="12">
        <v>8</v>
      </c>
      <c r="K35" s="17">
        <f t="shared" si="5"/>
        <v>13.133333333333333</v>
      </c>
      <c r="L35" s="12">
        <v>7</v>
      </c>
      <c r="M35" s="17">
        <f t="shared" si="6"/>
        <v>38.22</v>
      </c>
      <c r="N35" s="12">
        <v>6</v>
      </c>
      <c r="O35" s="17">
        <f t="shared" si="7"/>
        <v>26.366666666666664</v>
      </c>
      <c r="P35" s="12">
        <v>8</v>
      </c>
      <c r="Q35" s="17">
        <f t="shared" si="8"/>
        <v>47.566666666666663</v>
      </c>
      <c r="R35" s="12">
        <v>8</v>
      </c>
      <c r="S35" s="16">
        <f t="shared" si="9"/>
        <v>259.66666666666669</v>
      </c>
      <c r="T35" s="12">
        <v>9</v>
      </c>
      <c r="U35" s="17">
        <f t="shared" si="10"/>
        <v>67.266666666666666</v>
      </c>
      <c r="V35" s="12">
        <v>5</v>
      </c>
      <c r="W35" s="131">
        <f t="shared" si="11"/>
        <v>65</v>
      </c>
    </row>
    <row r="36" spans="1:23" s="4" customFormat="1" ht="12.75" x14ac:dyDescent="0.2">
      <c r="A36" s="12">
        <v>5</v>
      </c>
      <c r="B36" s="11" t="s">
        <v>141</v>
      </c>
      <c r="C36" s="14">
        <f t="shared" si="3"/>
        <v>5.916666666666667</v>
      </c>
      <c r="D36" s="16">
        <f>(C36*100)/C32</f>
        <v>112.41291956934772</v>
      </c>
      <c r="E36" s="12">
        <f>6*2</f>
        <v>12</v>
      </c>
      <c r="F36" s="16">
        <f t="shared" si="4"/>
        <v>7.666666666666667</v>
      </c>
      <c r="G36" s="16">
        <f t="shared" si="4"/>
        <v>76</v>
      </c>
      <c r="H36" s="16">
        <f t="shared" si="4"/>
        <v>87</v>
      </c>
      <c r="I36" s="16">
        <f t="shared" si="4"/>
        <v>772.66666666666663</v>
      </c>
      <c r="J36" s="12">
        <v>7</v>
      </c>
      <c r="K36" s="17">
        <f t="shared" si="5"/>
        <v>13.766666666666666</v>
      </c>
      <c r="L36" s="12">
        <v>7</v>
      </c>
      <c r="M36" s="17">
        <f t="shared" si="6"/>
        <v>43.586666666666666</v>
      </c>
      <c r="N36" s="12">
        <v>7</v>
      </c>
      <c r="O36" s="17">
        <f t="shared" si="7"/>
        <v>27.899999999999995</v>
      </c>
      <c r="P36" s="12">
        <v>8</v>
      </c>
      <c r="Q36" s="17">
        <f t="shared" si="8"/>
        <v>52.733333333333327</v>
      </c>
      <c r="R36" s="12">
        <v>8</v>
      </c>
      <c r="S36" s="16">
        <f t="shared" si="9"/>
        <v>223.66666666666666</v>
      </c>
      <c r="T36" s="12">
        <v>7</v>
      </c>
      <c r="U36" s="17">
        <f t="shared" si="10"/>
        <v>65.999999999999986</v>
      </c>
      <c r="V36" s="12">
        <v>3</v>
      </c>
      <c r="W36" s="131">
        <f t="shared" si="11"/>
        <v>59</v>
      </c>
    </row>
    <row r="37" spans="1:23" s="4" customFormat="1" ht="12.75" x14ac:dyDescent="0.2">
      <c r="A37" s="12">
        <v>6</v>
      </c>
      <c r="B37" s="11" t="s">
        <v>142</v>
      </c>
      <c r="C37" s="14">
        <f t="shared" si="3"/>
        <v>5.9000000000000012</v>
      </c>
      <c r="D37" s="16">
        <f>(C37*100)/C32</f>
        <v>112.09626345788477</v>
      </c>
      <c r="E37" s="12">
        <f>6*2</f>
        <v>12</v>
      </c>
      <c r="F37" s="16">
        <f t="shared" si="4"/>
        <v>7.333333333333333</v>
      </c>
      <c r="G37" s="16">
        <f t="shared" si="4"/>
        <v>82.666666666666671</v>
      </c>
      <c r="H37" s="16">
        <f t="shared" si="4"/>
        <v>83.333333333333329</v>
      </c>
      <c r="I37" s="16">
        <f t="shared" si="4"/>
        <v>768</v>
      </c>
      <c r="J37" s="12">
        <v>6</v>
      </c>
      <c r="K37" s="17">
        <f t="shared" si="5"/>
        <v>13.566666666666668</v>
      </c>
      <c r="L37" s="12">
        <v>7</v>
      </c>
      <c r="M37" s="17">
        <f t="shared" si="6"/>
        <v>40.093333333333334</v>
      </c>
      <c r="N37" s="12">
        <v>6</v>
      </c>
      <c r="O37" s="17">
        <f t="shared" si="7"/>
        <v>27.866666666666664</v>
      </c>
      <c r="P37" s="12">
        <v>8</v>
      </c>
      <c r="Q37" s="17">
        <f t="shared" si="8"/>
        <v>49.1</v>
      </c>
      <c r="R37" s="12">
        <v>8</v>
      </c>
      <c r="S37" s="16">
        <f t="shared" si="9"/>
        <v>286.33333333333331</v>
      </c>
      <c r="T37" s="12">
        <v>9</v>
      </c>
      <c r="U37" s="17">
        <f t="shared" si="10"/>
        <v>65.86666666666666</v>
      </c>
      <c r="V37" s="12">
        <v>3</v>
      </c>
      <c r="W37" s="131">
        <f t="shared" si="11"/>
        <v>59</v>
      </c>
    </row>
    <row r="38" spans="1:23" s="4" customFormat="1" ht="12.75" x14ac:dyDescent="0.2">
      <c r="A38" s="12">
        <v>7</v>
      </c>
      <c r="B38" s="11" t="s">
        <v>143</v>
      </c>
      <c r="C38" s="14">
        <f t="shared" si="3"/>
        <v>6.0566666666666658</v>
      </c>
      <c r="D38" s="16">
        <f>(C38*100)/C32</f>
        <v>115.07283090563648</v>
      </c>
      <c r="E38" s="12">
        <f>6*2</f>
        <v>12</v>
      </c>
      <c r="F38" s="16">
        <f t="shared" si="4"/>
        <v>8</v>
      </c>
      <c r="G38" s="16">
        <f t="shared" si="4"/>
        <v>77</v>
      </c>
      <c r="H38" s="16">
        <f t="shared" si="4"/>
        <v>87</v>
      </c>
      <c r="I38" s="16">
        <f t="shared" si="4"/>
        <v>774</v>
      </c>
      <c r="J38" s="12">
        <v>7</v>
      </c>
      <c r="K38" s="17">
        <f t="shared" si="5"/>
        <v>13.299999999999999</v>
      </c>
      <c r="L38" s="12">
        <v>7</v>
      </c>
      <c r="M38" s="17">
        <f t="shared" si="6"/>
        <v>45</v>
      </c>
      <c r="N38" s="12">
        <v>7</v>
      </c>
      <c r="O38" s="17">
        <f t="shared" si="7"/>
        <v>26.5</v>
      </c>
      <c r="P38" s="12">
        <v>8</v>
      </c>
      <c r="Q38" s="17">
        <f t="shared" si="8"/>
        <v>47.4</v>
      </c>
      <c r="R38" s="12">
        <v>8</v>
      </c>
      <c r="S38" s="16">
        <f t="shared" si="9"/>
        <v>346.33333333333331</v>
      </c>
      <c r="T38" s="12">
        <v>5</v>
      </c>
      <c r="U38" s="17">
        <f t="shared" si="10"/>
        <v>66.133333333333326</v>
      </c>
      <c r="V38" s="12">
        <v>3</v>
      </c>
      <c r="W38" s="131">
        <f t="shared" si="11"/>
        <v>57</v>
      </c>
    </row>
    <row r="41" spans="1:23" ht="15.75" x14ac:dyDescent="0.25">
      <c r="B41" s="133" t="s">
        <v>218</v>
      </c>
      <c r="C41" s="134"/>
      <c r="D41" s="134"/>
      <c r="E41" s="134"/>
    </row>
  </sheetData>
  <mergeCells count="11">
    <mergeCell ref="U5:V5"/>
    <mergeCell ref="W5:W6"/>
    <mergeCell ref="K5:L5"/>
    <mergeCell ref="M5:N5"/>
    <mergeCell ref="O5:P5"/>
    <mergeCell ref="Q5:R5"/>
    <mergeCell ref="A5:A6"/>
    <mergeCell ref="B5:B6"/>
    <mergeCell ref="C5:E5"/>
    <mergeCell ref="I5:J5"/>
    <mergeCell ref="S5:T5"/>
  </mergeCells>
  <phoneticPr fontId="0" type="noConversion"/>
  <pageMargins left="0.25" right="0.25" top="0.75" bottom="0.75" header="0.3" footer="0.3"/>
  <pageSetup orientation="landscape" r:id="rId1"/>
  <headerFooter>
    <oddHeader>&amp;LVasaras kvieši  (Triticum aestivum L.) &amp;CVasaras kviešu saimniecisko īpašību novērtējums 2013.gadā.</oddHeader>
    <oddFooter>&amp;CLapa 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14</vt:i4>
      </vt:variant>
      <vt:variant>
        <vt:lpstr>Diapazoni ar nosaukumiem</vt:lpstr>
      </vt:variant>
      <vt:variant>
        <vt:i4>16</vt:i4>
      </vt:variant>
    </vt:vector>
  </HeadingPairs>
  <TitlesOfParts>
    <vt:vector size="30" baseType="lpstr">
      <vt:lpstr>Kartupeļi vid. agrīnie</vt:lpstr>
      <vt:lpstr>Kartupeļi agrīnie</vt:lpstr>
      <vt:lpstr>Kukurūza</vt:lpstr>
      <vt:lpstr>Ziemas tritikale</vt:lpstr>
      <vt:lpstr>Ziemas rudzi</vt:lpstr>
      <vt:lpstr>Ziemas miezi</vt:lpstr>
      <vt:lpstr>Ziemas kviesi</vt:lpstr>
      <vt:lpstr>Ziemas rapsis</vt:lpstr>
      <vt:lpstr>Vasaras kviesi</vt:lpstr>
      <vt:lpstr>Vasaras miezi</vt:lpstr>
      <vt:lpstr>Auzas</vt:lpstr>
      <vt:lpstr>Vasaras rapsis </vt:lpstr>
      <vt:lpstr>Zirņi</vt:lpstr>
      <vt:lpstr>Pupas</vt:lpstr>
      <vt:lpstr>'Vasaras rapsis '!Drukas_apgabals</vt:lpstr>
      <vt:lpstr>'Ziemas kviesi'!Drukas_apgabals</vt:lpstr>
      <vt:lpstr>'Ziemas rapsis'!Drukas_apgabals</vt:lpstr>
      <vt:lpstr>Auzas!Drukāt_virsrakstus</vt:lpstr>
      <vt:lpstr>Kukurūza!Drukāt_virsrakstus</vt:lpstr>
      <vt:lpstr>Pupas!Drukāt_virsrakstus</vt:lpstr>
      <vt:lpstr>'Vasaras kviesi'!Drukāt_virsrakstus</vt:lpstr>
      <vt:lpstr>'Vasaras miezi'!Drukāt_virsrakstus</vt:lpstr>
      <vt:lpstr>'Vasaras rapsis '!Drukāt_virsrakstus</vt:lpstr>
      <vt:lpstr>'Ziemas kviesi'!Drukāt_virsrakstus</vt:lpstr>
      <vt:lpstr>'Ziemas miezi'!Drukāt_virsrakstus</vt:lpstr>
      <vt:lpstr>'Ziemas rapsis'!Drukāt_virsrakstus</vt:lpstr>
      <vt:lpstr>'Ziemas rudzi'!Drukāt_virsrakstus</vt:lpstr>
      <vt:lpstr>'Ziemas tritikale'!Drukāt_virsrakstus</vt:lpstr>
      <vt:lpstr>Zirņi!Drukāt_virsrakstus</vt:lpstr>
      <vt:lpstr>'Kartupeļi agrīnie'!OLE_LINK9</vt:lpstr>
    </vt:vector>
  </TitlesOfParts>
  <Company>VAAD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Anda</dc:creator>
  <cp:lastModifiedBy>Liena Jaunzeme</cp:lastModifiedBy>
  <cp:lastPrinted>2013-12-11T12:05:55Z</cp:lastPrinted>
  <dcterms:created xsi:type="dcterms:W3CDTF">2013-04-19T06:42:37Z</dcterms:created>
  <dcterms:modified xsi:type="dcterms:W3CDTF">2021-03-12T14:03:34Z</dcterms:modified>
</cp:coreProperties>
</file>