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user_profiles\liena.jaunzeme\Desktop\SĪN\"/>
    </mc:Choice>
  </mc:AlternateContent>
  <xr:revisionPtr revIDLastSave="0" documentId="8_{C30F9A67-51DE-4D27-B30F-CC6497BF6E80}" xr6:coauthVersionLast="46" xr6:coauthVersionMax="46" xr10:uidLastSave="{00000000-0000-0000-0000-000000000000}"/>
  <bookViews>
    <workbookView xWindow="8580" yWindow="510" windowWidth="18630" windowHeight="13785" xr2:uid="{00000000-000D-0000-FFFF-FFFF00000000}"/>
  </bookViews>
  <sheets>
    <sheet name="Z.Tritikale" sheetId="1" r:id="rId1"/>
    <sheet name="Z.mieži" sheetId="2" r:id="rId2"/>
    <sheet name="Rudzi" sheetId="3" r:id="rId3"/>
    <sheet name="Z.kvieši" sheetId="4" r:id="rId4"/>
    <sheet name="Z.kvieši BIO" sheetId="18" r:id="rId5"/>
    <sheet name="Z.rapsis" sheetId="5" r:id="rId6"/>
    <sheet name="Z.rapsis CL" sheetId="8" r:id="rId7"/>
    <sheet name="V.Kvieši" sheetId="6" r:id="rId8"/>
    <sheet name="V.mieži" sheetId="7" r:id="rId9"/>
    <sheet name="Auzas" sheetId="9" r:id="rId10"/>
    <sheet name="V.rapsis" sheetId="10" r:id="rId11"/>
    <sheet name="V.rapsis CL" sheetId="11" r:id="rId12"/>
    <sheet name="Soja" sheetId="12" r:id="rId13"/>
    <sheet name="Kartupeļi vēlīnie" sheetId="15" r:id="rId14"/>
    <sheet name="Eļļas kaņepes" sheetId="16" r:id="rId15"/>
  </sheets>
  <definedNames>
    <definedName name="_xlnm.Print_Area" localSheetId="2">Rudzi!$B$46:$H$83</definedName>
    <definedName name="_xlnm.Print_Area" localSheetId="0">Z.Tritikale!$B$26:$H$61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6" l="1"/>
  <c r="M17" i="16"/>
  <c r="M14" i="16"/>
  <c r="X29" i="15" l="1"/>
  <c r="Q15" i="12" l="1"/>
  <c r="Q12" i="12"/>
  <c r="K15" i="12"/>
  <c r="K12" i="12"/>
  <c r="I18" i="12"/>
  <c r="M33" i="16"/>
  <c r="M34" i="16"/>
  <c r="M35" i="16"/>
  <c r="M36" i="16"/>
  <c r="M37" i="16"/>
  <c r="M38" i="16"/>
  <c r="M32" i="16"/>
  <c r="M24" i="16"/>
  <c r="M25" i="16"/>
  <c r="M26" i="16"/>
  <c r="M27" i="16"/>
  <c r="M28" i="16"/>
  <c r="M29" i="16"/>
  <c r="M23" i="16"/>
  <c r="M15" i="16"/>
  <c r="M16" i="16"/>
  <c r="M18" i="16"/>
  <c r="M19" i="16"/>
  <c r="M20" i="16"/>
  <c r="H14" i="16"/>
  <c r="I17" i="16" s="1"/>
  <c r="L33" i="16"/>
  <c r="L34" i="16"/>
  <c r="L35" i="16"/>
  <c r="L36" i="16"/>
  <c r="L37" i="16"/>
  <c r="L38" i="16"/>
  <c r="K33" i="16"/>
  <c r="K34" i="16"/>
  <c r="K35" i="16"/>
  <c r="K36" i="16"/>
  <c r="K37" i="16"/>
  <c r="K38" i="16"/>
  <c r="H36" i="16"/>
  <c r="F33" i="16"/>
  <c r="F34" i="16"/>
  <c r="F35" i="16"/>
  <c r="H35" i="16" s="1"/>
  <c r="F36" i="16"/>
  <c r="F37" i="16"/>
  <c r="F38" i="16"/>
  <c r="F32" i="16"/>
  <c r="C33" i="16"/>
  <c r="H33" i="16" s="1"/>
  <c r="C34" i="16"/>
  <c r="C35" i="16"/>
  <c r="C36" i="16"/>
  <c r="C37" i="16"/>
  <c r="C38" i="16"/>
  <c r="I18" i="16"/>
  <c r="I19" i="16"/>
  <c r="H15" i="16"/>
  <c r="I15" i="16" s="1"/>
  <c r="H16" i="16"/>
  <c r="I16" i="16" s="1"/>
  <c r="H17" i="16"/>
  <c r="H18" i="16"/>
  <c r="H19" i="16"/>
  <c r="H20" i="16"/>
  <c r="I20" i="16" s="1"/>
  <c r="D16" i="16"/>
  <c r="D18" i="16"/>
  <c r="D19" i="16"/>
  <c r="D20" i="16"/>
  <c r="D15" i="16"/>
  <c r="D25" i="16"/>
  <c r="D26" i="16"/>
  <c r="D27" i="16"/>
  <c r="D28" i="16"/>
  <c r="D29" i="16"/>
  <c r="D24" i="16"/>
  <c r="H24" i="16"/>
  <c r="I24" i="16" s="1"/>
  <c r="H25" i="16"/>
  <c r="H26" i="16"/>
  <c r="I26" i="16" s="1"/>
  <c r="H27" i="16"/>
  <c r="I27" i="16" s="1"/>
  <c r="H28" i="16"/>
  <c r="I28" i="16" s="1"/>
  <c r="H29" i="16"/>
  <c r="H23" i="16"/>
  <c r="H38" i="16" l="1"/>
  <c r="H37" i="16"/>
  <c r="H34" i="16"/>
  <c r="I29" i="16"/>
  <c r="I25" i="16"/>
  <c r="AA23" i="15"/>
  <c r="K14" i="15"/>
  <c r="G17" i="15"/>
  <c r="J11" i="11"/>
  <c r="O39" i="11" l="1"/>
  <c r="O40" i="11"/>
  <c r="O41" i="11"/>
  <c r="O42" i="11"/>
  <c r="O43" i="11"/>
  <c r="H39" i="11"/>
  <c r="H40" i="11"/>
  <c r="H41" i="11"/>
  <c r="H42" i="11"/>
  <c r="H43" i="11"/>
  <c r="G39" i="11"/>
  <c r="G40" i="11"/>
  <c r="G41" i="11"/>
  <c r="G42" i="11"/>
  <c r="G43" i="11"/>
  <c r="F39" i="11"/>
  <c r="F40" i="11"/>
  <c r="F41" i="11"/>
  <c r="F42" i="11"/>
  <c r="F43" i="11"/>
  <c r="C39" i="11"/>
  <c r="J39" i="11" s="1"/>
  <c r="C40" i="11"/>
  <c r="C41" i="11"/>
  <c r="J41" i="11" s="1"/>
  <c r="C42" i="11"/>
  <c r="C43" i="11"/>
  <c r="J43" i="11" s="1"/>
  <c r="I39" i="11"/>
  <c r="I40" i="11"/>
  <c r="I41" i="11"/>
  <c r="I42" i="11"/>
  <c r="J42" i="11" s="1"/>
  <c r="I43" i="11"/>
  <c r="N39" i="11"/>
  <c r="N40" i="11"/>
  <c r="N41" i="11"/>
  <c r="N42" i="11"/>
  <c r="N43" i="11"/>
  <c r="M39" i="11"/>
  <c r="M40" i="11"/>
  <c r="M41" i="11"/>
  <c r="M42" i="11"/>
  <c r="O30" i="11"/>
  <c r="O31" i="11"/>
  <c r="O32" i="11"/>
  <c r="O33" i="11"/>
  <c r="O34" i="11"/>
  <c r="J30" i="11"/>
  <c r="J31" i="11"/>
  <c r="J32" i="11"/>
  <c r="J33" i="11"/>
  <c r="J34" i="11"/>
  <c r="D30" i="11"/>
  <c r="D31" i="11"/>
  <c r="D32" i="11"/>
  <c r="D33" i="11"/>
  <c r="D34" i="11"/>
  <c r="O13" i="11"/>
  <c r="O14" i="11"/>
  <c r="O15" i="11"/>
  <c r="O16" i="11"/>
  <c r="J16" i="11"/>
  <c r="J12" i="11"/>
  <c r="J13" i="11"/>
  <c r="J14" i="11"/>
  <c r="J15" i="11"/>
  <c r="D12" i="11"/>
  <c r="D13" i="11"/>
  <c r="D14" i="11"/>
  <c r="D15" i="11"/>
  <c r="D16" i="11"/>
  <c r="O21" i="11"/>
  <c r="O22" i="11"/>
  <c r="O23" i="11"/>
  <c r="O24" i="11"/>
  <c r="O25" i="11"/>
  <c r="J21" i="11"/>
  <c r="J22" i="11"/>
  <c r="J23" i="11"/>
  <c r="J24" i="11"/>
  <c r="J25" i="11"/>
  <c r="D21" i="11"/>
  <c r="D22" i="11"/>
  <c r="D23" i="11"/>
  <c r="D24" i="11"/>
  <c r="D25" i="11"/>
  <c r="J40" i="11" l="1"/>
  <c r="O40" i="10"/>
  <c r="O33" i="10"/>
  <c r="O34" i="10"/>
  <c r="O35" i="10"/>
  <c r="O36" i="10"/>
  <c r="O37" i="10"/>
  <c r="O38" i="10"/>
  <c r="O39" i="10"/>
  <c r="O41" i="10"/>
  <c r="O42" i="10"/>
  <c r="O43" i="10"/>
  <c r="O44" i="10"/>
  <c r="O45" i="10"/>
  <c r="O46" i="10"/>
  <c r="O47" i="10"/>
  <c r="O48" i="10"/>
  <c r="O49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J78" i="10"/>
  <c r="J82" i="10"/>
  <c r="J86" i="10"/>
  <c r="J90" i="10"/>
  <c r="I75" i="10"/>
  <c r="I76" i="10"/>
  <c r="J76" i="10" s="1"/>
  <c r="I77" i="10"/>
  <c r="J77" i="10" s="1"/>
  <c r="I78" i="10"/>
  <c r="I79" i="10"/>
  <c r="I80" i="10"/>
  <c r="J80" i="10" s="1"/>
  <c r="I81" i="10"/>
  <c r="J81" i="10" s="1"/>
  <c r="I82" i="10"/>
  <c r="I83" i="10"/>
  <c r="I84" i="10"/>
  <c r="J84" i="10" s="1"/>
  <c r="I85" i="10"/>
  <c r="J85" i="10" s="1"/>
  <c r="I86" i="10"/>
  <c r="I87" i="10"/>
  <c r="I88" i="10"/>
  <c r="J88" i="10" s="1"/>
  <c r="I89" i="10"/>
  <c r="J89" i="10" s="1"/>
  <c r="I90" i="10"/>
  <c r="I91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C75" i="10"/>
  <c r="J75" i="10" s="1"/>
  <c r="C76" i="10"/>
  <c r="C77" i="10"/>
  <c r="C78" i="10"/>
  <c r="C79" i="10"/>
  <c r="J79" i="10" s="1"/>
  <c r="C80" i="10"/>
  <c r="C81" i="10"/>
  <c r="C82" i="10"/>
  <c r="C83" i="10"/>
  <c r="J83" i="10" s="1"/>
  <c r="C84" i="10"/>
  <c r="C85" i="10"/>
  <c r="C86" i="10"/>
  <c r="C87" i="10"/>
  <c r="J87" i="10" s="1"/>
  <c r="C88" i="10"/>
  <c r="C89" i="10"/>
  <c r="C90" i="10"/>
  <c r="C91" i="10"/>
  <c r="J91" i="10" s="1"/>
  <c r="N31" i="10"/>
  <c r="M31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I31" i="10"/>
  <c r="G31" i="10" l="1"/>
  <c r="D36" i="10"/>
  <c r="D40" i="10"/>
  <c r="D44" i="10"/>
  <c r="D48" i="10"/>
  <c r="C31" i="10"/>
  <c r="D33" i="10" s="1"/>
  <c r="D47" i="10" l="1"/>
  <c r="D43" i="10"/>
  <c r="D39" i="10"/>
  <c r="D35" i="10"/>
  <c r="D32" i="10"/>
  <c r="D46" i="10"/>
  <c r="D42" i="10"/>
  <c r="D38" i="10"/>
  <c r="D34" i="10"/>
  <c r="D49" i="10"/>
  <c r="D45" i="10"/>
  <c r="D41" i="10"/>
  <c r="D37" i="10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89" i="5"/>
  <c r="P35" i="8"/>
  <c r="O35" i="8"/>
  <c r="K35" i="8"/>
  <c r="J35" i="8"/>
  <c r="I35" i="8"/>
  <c r="H35" i="8"/>
  <c r="G35" i="8"/>
  <c r="F35" i="8"/>
  <c r="Q35" i="8" s="1"/>
  <c r="Q28" i="8"/>
  <c r="L28" i="8"/>
  <c r="D28" i="8"/>
  <c r="C35" i="8"/>
  <c r="L35" i="8" s="1"/>
  <c r="O63" i="5"/>
  <c r="O62" i="5"/>
  <c r="O61" i="5"/>
  <c r="I63" i="5"/>
  <c r="I62" i="5"/>
  <c r="I61" i="5"/>
  <c r="C63" i="5"/>
  <c r="D65" i="5" s="1"/>
  <c r="C62" i="5"/>
  <c r="C61" i="5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N52" i="10"/>
  <c r="M52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I52" i="10"/>
  <c r="G52" i="10"/>
  <c r="C52" i="10"/>
  <c r="D56" i="10" s="1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N10" i="10"/>
  <c r="M10" i="10"/>
  <c r="J12" i="10"/>
  <c r="J13" i="10"/>
  <c r="J14" i="10"/>
  <c r="J15" i="10"/>
  <c r="J16" i="10"/>
  <c r="J17" i="10"/>
  <c r="J18" i="10"/>
  <c r="K18" i="10" s="1"/>
  <c r="J19" i="10"/>
  <c r="J20" i="10"/>
  <c r="J21" i="10"/>
  <c r="J22" i="10"/>
  <c r="K22" i="10" s="1"/>
  <c r="J23" i="10"/>
  <c r="J24" i="10"/>
  <c r="J25" i="10"/>
  <c r="J26" i="10"/>
  <c r="J27" i="10"/>
  <c r="J28" i="10"/>
  <c r="I10" i="10"/>
  <c r="G10" i="10"/>
  <c r="D12" i="10"/>
  <c r="D15" i="10"/>
  <c r="D16" i="10"/>
  <c r="D19" i="10"/>
  <c r="D20" i="10"/>
  <c r="D23" i="10"/>
  <c r="D24" i="10"/>
  <c r="D27" i="10"/>
  <c r="D28" i="10"/>
  <c r="C10" i="10"/>
  <c r="J10" i="10" s="1"/>
  <c r="Q21" i="8"/>
  <c r="Q22" i="8"/>
  <c r="L20" i="8"/>
  <c r="L21" i="8"/>
  <c r="L22" i="8"/>
  <c r="D20" i="8"/>
  <c r="D21" i="8"/>
  <c r="D22" i="8"/>
  <c r="Q13" i="8"/>
  <c r="Q14" i="8"/>
  <c r="Q15" i="8"/>
  <c r="L13" i="8"/>
  <c r="M13" i="8" s="1"/>
  <c r="L14" i="8"/>
  <c r="L15" i="8"/>
  <c r="L11" i="8"/>
  <c r="M14" i="8" s="1"/>
  <c r="D13" i="8"/>
  <c r="D14" i="8"/>
  <c r="D15" i="8"/>
  <c r="D12" i="8"/>
  <c r="K26" i="10" l="1"/>
  <c r="K14" i="10"/>
  <c r="K28" i="10"/>
  <c r="K24" i="10"/>
  <c r="K20" i="10"/>
  <c r="K16" i="10"/>
  <c r="K12" i="10"/>
  <c r="D67" i="10"/>
  <c r="D63" i="10"/>
  <c r="D59" i="10"/>
  <c r="D55" i="10"/>
  <c r="M15" i="8"/>
  <c r="K27" i="10"/>
  <c r="K23" i="10"/>
  <c r="K19" i="10"/>
  <c r="K15" i="10"/>
  <c r="D70" i="10"/>
  <c r="D66" i="10"/>
  <c r="D62" i="10"/>
  <c r="D58" i="10"/>
  <c r="D54" i="10"/>
  <c r="C73" i="10"/>
  <c r="D26" i="10"/>
  <c r="D22" i="10"/>
  <c r="D18" i="10"/>
  <c r="D14" i="10"/>
  <c r="D69" i="10"/>
  <c r="D65" i="10"/>
  <c r="D61" i="10"/>
  <c r="D57" i="10"/>
  <c r="D11" i="10"/>
  <c r="D25" i="10"/>
  <c r="D21" i="10"/>
  <c r="D17" i="10"/>
  <c r="D13" i="10"/>
  <c r="K25" i="10"/>
  <c r="K21" i="10"/>
  <c r="K17" i="10"/>
  <c r="K13" i="10"/>
  <c r="D68" i="10"/>
  <c r="D64" i="10"/>
  <c r="D60" i="10"/>
  <c r="P63" i="5"/>
  <c r="P62" i="5"/>
  <c r="P61" i="5"/>
  <c r="L63" i="5"/>
  <c r="L61" i="5"/>
  <c r="K62" i="5"/>
  <c r="K61" i="5"/>
  <c r="K63" i="5" s="1"/>
  <c r="P37" i="5"/>
  <c r="P36" i="5"/>
  <c r="O36" i="5"/>
  <c r="L53" i="5"/>
  <c r="K37" i="5"/>
  <c r="K36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89" i="5"/>
  <c r="P87" i="5"/>
  <c r="P86" i="5"/>
  <c r="O86" i="5"/>
  <c r="K89" i="5"/>
  <c r="K86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L51" i="5"/>
  <c r="L52" i="5"/>
  <c r="K38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87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89" i="5"/>
  <c r="J87" i="5"/>
  <c r="J86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89" i="5"/>
  <c r="H87" i="5"/>
  <c r="H86" i="5"/>
  <c r="H63" i="5"/>
  <c r="F63" i="5"/>
  <c r="Q63" i="5" s="1"/>
  <c r="D79" i="5"/>
  <c r="D68" i="5"/>
  <c r="F100" i="5"/>
  <c r="Q100" i="5" s="1"/>
  <c r="G100" i="5"/>
  <c r="F101" i="5"/>
  <c r="G101" i="5"/>
  <c r="Q101" i="5"/>
  <c r="F102" i="5"/>
  <c r="G102" i="5"/>
  <c r="Q102" i="5"/>
  <c r="L75" i="5"/>
  <c r="Q75" i="5"/>
  <c r="L76" i="5"/>
  <c r="Q76" i="5"/>
  <c r="L77" i="5"/>
  <c r="Q77" i="5"/>
  <c r="W43" i="6"/>
  <c r="W31" i="6"/>
  <c r="W19" i="6"/>
  <c r="P38" i="5" l="1"/>
  <c r="H88" i="5"/>
  <c r="D76" i="10"/>
  <c r="D80" i="10"/>
  <c r="D84" i="10"/>
  <c r="D88" i="10"/>
  <c r="D77" i="10"/>
  <c r="D81" i="10"/>
  <c r="D85" i="10"/>
  <c r="D89" i="10"/>
  <c r="D90" i="10"/>
  <c r="D83" i="10"/>
  <c r="D86" i="10"/>
  <c r="D79" i="10"/>
  <c r="D82" i="10"/>
  <c r="D91" i="10"/>
  <c r="D75" i="10"/>
  <c r="D78" i="10"/>
  <c r="D87" i="10"/>
  <c r="J88" i="5"/>
  <c r="D75" i="5"/>
  <c r="D71" i="5"/>
  <c r="D83" i="5"/>
  <c r="D67" i="5"/>
  <c r="D82" i="5"/>
  <c r="D78" i="5"/>
  <c r="D74" i="5"/>
  <c r="D70" i="5"/>
  <c r="D66" i="5"/>
  <c r="M77" i="5"/>
  <c r="M75" i="5"/>
  <c r="D81" i="5"/>
  <c r="D77" i="5"/>
  <c r="D73" i="5"/>
  <c r="D69" i="5"/>
  <c r="M76" i="5"/>
  <c r="D64" i="5"/>
  <c r="D80" i="5"/>
  <c r="D76" i="5"/>
  <c r="D72" i="5"/>
  <c r="L102" i="5"/>
  <c r="L101" i="5"/>
  <c r="P88" i="5"/>
  <c r="K88" i="5"/>
  <c r="L100" i="5"/>
  <c r="J38" i="5"/>
  <c r="H38" i="5"/>
  <c r="I37" i="5"/>
  <c r="I87" i="5" s="1"/>
  <c r="I36" i="5"/>
  <c r="O37" i="5"/>
  <c r="D38" i="5"/>
  <c r="C37" i="5"/>
  <c r="C87" i="5" s="1"/>
  <c r="L37" i="5"/>
  <c r="C36" i="5"/>
  <c r="C86" i="5" s="1"/>
  <c r="G62" i="5"/>
  <c r="G61" i="5"/>
  <c r="G63" i="5" s="1"/>
  <c r="F62" i="5"/>
  <c r="Q62" i="5" s="1"/>
  <c r="F61" i="5"/>
  <c r="Q61" i="5" s="1"/>
  <c r="L36" i="5"/>
  <c r="L39" i="5"/>
  <c r="L40" i="5"/>
  <c r="L41" i="5"/>
  <c r="L42" i="5"/>
  <c r="L43" i="5"/>
  <c r="L44" i="5"/>
  <c r="L45" i="5"/>
  <c r="L46" i="5"/>
  <c r="L47" i="5"/>
  <c r="L48" i="5"/>
  <c r="L49" i="5"/>
  <c r="L50" i="5"/>
  <c r="L54" i="5"/>
  <c r="L55" i="5"/>
  <c r="L56" i="5"/>
  <c r="L57" i="5"/>
  <c r="L58" i="5"/>
  <c r="G37" i="5"/>
  <c r="G38" i="5" s="1"/>
  <c r="G36" i="5"/>
  <c r="F37" i="5"/>
  <c r="F36" i="5"/>
  <c r="Q36" i="5" s="1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G12" i="5"/>
  <c r="G11" i="5"/>
  <c r="F12" i="5"/>
  <c r="Q12" i="5" s="1"/>
  <c r="F11" i="5"/>
  <c r="Q28" i="9"/>
  <c r="Q29" i="9"/>
  <c r="Q30" i="9"/>
  <c r="O28" i="9"/>
  <c r="O29" i="9"/>
  <c r="O30" i="9"/>
  <c r="M28" i="9"/>
  <c r="M29" i="9"/>
  <c r="M30" i="9"/>
  <c r="K28" i="9"/>
  <c r="K29" i="9"/>
  <c r="K30" i="9"/>
  <c r="I28" i="9"/>
  <c r="I29" i="9"/>
  <c r="I30" i="9"/>
  <c r="S28" i="9"/>
  <c r="S29" i="9"/>
  <c r="S30" i="9"/>
  <c r="S20" i="9"/>
  <c r="S21" i="9"/>
  <c r="S22" i="9"/>
  <c r="S23" i="9"/>
  <c r="S13" i="9"/>
  <c r="S14" i="9"/>
  <c r="S15" i="9"/>
  <c r="H28" i="9"/>
  <c r="H29" i="9"/>
  <c r="H30" i="9"/>
  <c r="G28" i="9"/>
  <c r="G29" i="9"/>
  <c r="G30" i="9"/>
  <c r="F28" i="9"/>
  <c r="F29" i="9"/>
  <c r="F30" i="9"/>
  <c r="C28" i="9"/>
  <c r="C29" i="9"/>
  <c r="C30" i="9"/>
  <c r="D20" i="9"/>
  <c r="D21" i="9"/>
  <c r="D22" i="9"/>
  <c r="D23" i="9"/>
  <c r="D13" i="9"/>
  <c r="D14" i="9"/>
  <c r="D15" i="9"/>
  <c r="Q55" i="7"/>
  <c r="Q54" i="7"/>
  <c r="G70" i="7"/>
  <c r="H70" i="7"/>
  <c r="I70" i="7"/>
  <c r="K70" i="7"/>
  <c r="M70" i="7"/>
  <c r="O70" i="7"/>
  <c r="Q70" i="7"/>
  <c r="G71" i="7"/>
  <c r="H71" i="7"/>
  <c r="I71" i="7"/>
  <c r="K71" i="7"/>
  <c r="M71" i="7"/>
  <c r="O71" i="7"/>
  <c r="Q71" i="7"/>
  <c r="F70" i="7"/>
  <c r="F71" i="7"/>
  <c r="D48" i="7"/>
  <c r="C70" i="7"/>
  <c r="C71" i="7"/>
  <c r="D55" i="7"/>
  <c r="D54" i="7"/>
  <c r="Q22" i="7"/>
  <c r="Q23" i="7"/>
  <c r="Q38" i="7"/>
  <c r="Q39" i="7"/>
  <c r="Q40" i="7"/>
  <c r="D32" i="7"/>
  <c r="D39" i="7"/>
  <c r="D38" i="7"/>
  <c r="D16" i="7"/>
  <c r="D23" i="7"/>
  <c r="D22" i="7"/>
  <c r="I26" i="6"/>
  <c r="C55" i="6"/>
  <c r="F55" i="6"/>
  <c r="G55" i="6"/>
  <c r="H55" i="6"/>
  <c r="I55" i="6"/>
  <c r="K55" i="6"/>
  <c r="M55" i="6"/>
  <c r="O55" i="6"/>
  <c r="Q55" i="6"/>
  <c r="R55" i="6"/>
  <c r="U55" i="6"/>
  <c r="W55" i="6"/>
  <c r="D43" i="6"/>
  <c r="D31" i="6"/>
  <c r="G14" i="6"/>
  <c r="D15" i="6"/>
  <c r="D19" i="6"/>
  <c r="C14" i="6"/>
  <c r="V32" i="18"/>
  <c r="V28" i="18"/>
  <c r="V29" i="18"/>
  <c r="V30" i="18"/>
  <c r="V27" i="18"/>
  <c r="S32" i="18"/>
  <c r="S28" i="18"/>
  <c r="S29" i="18"/>
  <c r="S30" i="18"/>
  <c r="S27" i="18"/>
  <c r="R32" i="18"/>
  <c r="R28" i="18"/>
  <c r="R29" i="18"/>
  <c r="R30" i="18"/>
  <c r="R27" i="18"/>
  <c r="P32" i="18"/>
  <c r="P28" i="18"/>
  <c r="P29" i="18"/>
  <c r="P30" i="18"/>
  <c r="P27" i="18"/>
  <c r="N32" i="18"/>
  <c r="N28" i="18"/>
  <c r="N29" i="18"/>
  <c r="N30" i="18"/>
  <c r="N27" i="18"/>
  <c r="L32" i="18"/>
  <c r="L28" i="18"/>
  <c r="L29" i="18"/>
  <c r="L30" i="18"/>
  <c r="L27" i="18"/>
  <c r="J32" i="18"/>
  <c r="J28" i="18"/>
  <c r="J29" i="18"/>
  <c r="J30" i="18"/>
  <c r="J27" i="18"/>
  <c r="I32" i="18"/>
  <c r="I28" i="18"/>
  <c r="I29" i="18"/>
  <c r="I30" i="18"/>
  <c r="I27" i="18"/>
  <c r="H32" i="18"/>
  <c r="H28" i="18"/>
  <c r="H29" i="18"/>
  <c r="H30" i="18"/>
  <c r="H27" i="18"/>
  <c r="G32" i="18"/>
  <c r="G28" i="18"/>
  <c r="G29" i="18"/>
  <c r="G30" i="18"/>
  <c r="G27" i="18"/>
  <c r="F32" i="18"/>
  <c r="X32" i="18" s="1"/>
  <c r="F28" i="18"/>
  <c r="X28" i="18" s="1"/>
  <c r="F29" i="18"/>
  <c r="X29" i="18" s="1"/>
  <c r="F30" i="18"/>
  <c r="F27" i="18"/>
  <c r="X27" i="18" s="1"/>
  <c r="C32" i="18"/>
  <c r="C28" i="18"/>
  <c r="C29" i="18"/>
  <c r="C30" i="18"/>
  <c r="C27" i="18"/>
  <c r="N15" i="18"/>
  <c r="X30" i="18"/>
  <c r="X24" i="18"/>
  <c r="D24" i="18"/>
  <c r="V23" i="18"/>
  <c r="S23" i="18"/>
  <c r="R23" i="18"/>
  <c r="P23" i="18"/>
  <c r="N23" i="18"/>
  <c r="L23" i="18"/>
  <c r="J23" i="18"/>
  <c r="I23" i="18"/>
  <c r="H23" i="18"/>
  <c r="G23" i="18"/>
  <c r="F23" i="18"/>
  <c r="X23" i="18" s="1"/>
  <c r="C23" i="18"/>
  <c r="X22" i="18"/>
  <c r="X21" i="18"/>
  <c r="X20" i="18"/>
  <c r="X19" i="18"/>
  <c r="X16" i="18"/>
  <c r="D16" i="18"/>
  <c r="V15" i="18"/>
  <c r="S15" i="18"/>
  <c r="R15" i="18"/>
  <c r="P15" i="18"/>
  <c r="L15" i="18"/>
  <c r="J15" i="18"/>
  <c r="I15" i="18"/>
  <c r="H15" i="18"/>
  <c r="F15" i="18"/>
  <c r="X15" i="18" s="1"/>
  <c r="C15" i="18"/>
  <c r="X14" i="18"/>
  <c r="X13" i="18"/>
  <c r="X12" i="18"/>
  <c r="X11" i="18"/>
  <c r="X22" i="4"/>
  <c r="S43" i="4"/>
  <c r="R43" i="4"/>
  <c r="P43" i="4"/>
  <c r="L43" i="4"/>
  <c r="J43" i="4"/>
  <c r="V29" i="4"/>
  <c r="S29" i="4"/>
  <c r="R29" i="4"/>
  <c r="P29" i="4"/>
  <c r="L29" i="4"/>
  <c r="J29" i="4"/>
  <c r="V15" i="4"/>
  <c r="S15" i="4"/>
  <c r="R15" i="4"/>
  <c r="P15" i="4"/>
  <c r="N15" i="4"/>
  <c r="L15" i="4"/>
  <c r="J15" i="4"/>
  <c r="N43" i="4"/>
  <c r="J53" i="4"/>
  <c r="L53" i="4"/>
  <c r="N53" i="4"/>
  <c r="P53" i="4"/>
  <c r="R53" i="4"/>
  <c r="S53" i="4"/>
  <c r="J54" i="4"/>
  <c r="L54" i="4"/>
  <c r="N54" i="4"/>
  <c r="P54" i="4"/>
  <c r="R54" i="4"/>
  <c r="S54" i="4"/>
  <c r="J55" i="4"/>
  <c r="L55" i="4"/>
  <c r="N55" i="4"/>
  <c r="P55" i="4"/>
  <c r="R55" i="4"/>
  <c r="S55" i="4"/>
  <c r="J56" i="4"/>
  <c r="L56" i="4"/>
  <c r="N56" i="4"/>
  <c r="P56" i="4"/>
  <c r="R56" i="4"/>
  <c r="S56" i="4"/>
  <c r="J58" i="4"/>
  <c r="L58" i="4"/>
  <c r="N58" i="4"/>
  <c r="P58" i="4"/>
  <c r="R58" i="4"/>
  <c r="S58" i="4"/>
  <c r="J59" i="4"/>
  <c r="L59" i="4"/>
  <c r="N59" i="4"/>
  <c r="P59" i="4"/>
  <c r="R59" i="4"/>
  <c r="S59" i="4"/>
  <c r="J60" i="4"/>
  <c r="L60" i="4"/>
  <c r="N60" i="4"/>
  <c r="P60" i="4"/>
  <c r="R60" i="4"/>
  <c r="S60" i="4"/>
  <c r="J61" i="4"/>
  <c r="L61" i="4"/>
  <c r="N61" i="4"/>
  <c r="P61" i="4"/>
  <c r="R61" i="4"/>
  <c r="S61" i="4"/>
  <c r="J62" i="4"/>
  <c r="L62" i="4"/>
  <c r="N62" i="4"/>
  <c r="P62" i="4"/>
  <c r="R62" i="4"/>
  <c r="S62" i="4"/>
  <c r="J63" i="4"/>
  <c r="L63" i="4"/>
  <c r="N63" i="4"/>
  <c r="P63" i="4"/>
  <c r="R63" i="4"/>
  <c r="S63" i="4"/>
  <c r="J64" i="4"/>
  <c r="L64" i="4"/>
  <c r="N64" i="4"/>
  <c r="P64" i="4"/>
  <c r="R64" i="4"/>
  <c r="S64" i="4"/>
  <c r="I43" i="4"/>
  <c r="D44" i="4"/>
  <c r="N29" i="4"/>
  <c r="D30" i="4"/>
  <c r="D16" i="4"/>
  <c r="S44" i="3"/>
  <c r="S43" i="3"/>
  <c r="S42" i="3"/>
  <c r="S41" i="3"/>
  <c r="S40" i="3"/>
  <c r="S39" i="3"/>
  <c r="S38" i="3"/>
  <c r="L44" i="3"/>
  <c r="L43" i="3"/>
  <c r="L42" i="3"/>
  <c r="L41" i="3"/>
  <c r="L40" i="3"/>
  <c r="L39" i="3"/>
  <c r="L38" i="3"/>
  <c r="J38" i="3"/>
  <c r="J44" i="3"/>
  <c r="J43" i="3"/>
  <c r="J42" i="3"/>
  <c r="J41" i="3"/>
  <c r="J40" i="3"/>
  <c r="J39" i="3"/>
  <c r="C31" i="18" l="1"/>
  <c r="G13" i="5"/>
  <c r="G86" i="5"/>
  <c r="O87" i="5"/>
  <c r="O88" i="5" s="1"/>
  <c r="O38" i="5"/>
  <c r="L38" i="5"/>
  <c r="M39" i="5" s="1"/>
  <c r="C38" i="5"/>
  <c r="I38" i="5"/>
  <c r="I86" i="5"/>
  <c r="I88" i="5" s="1"/>
  <c r="F86" i="5"/>
  <c r="F13" i="5"/>
  <c r="Q11" i="5"/>
  <c r="F38" i="5"/>
  <c r="Q38" i="5" s="1"/>
  <c r="I31" i="18"/>
  <c r="M40" i="5"/>
  <c r="M44" i="5"/>
  <c r="M48" i="5"/>
  <c r="M52" i="5"/>
  <c r="M56" i="5"/>
  <c r="M41" i="5"/>
  <c r="M45" i="5"/>
  <c r="M49" i="5"/>
  <c r="M53" i="5"/>
  <c r="M57" i="5"/>
  <c r="M42" i="5"/>
  <c r="M46" i="5"/>
  <c r="M50" i="5"/>
  <c r="M54" i="5"/>
  <c r="M58" i="5"/>
  <c r="M43" i="5"/>
  <c r="M47" i="5"/>
  <c r="M51" i="5"/>
  <c r="M55" i="5"/>
  <c r="M38" i="5"/>
  <c r="J31" i="18"/>
  <c r="P31" i="18"/>
  <c r="F31" i="18"/>
  <c r="X31" i="18" s="1"/>
  <c r="D32" i="18"/>
  <c r="V31" i="18"/>
  <c r="Y11" i="18"/>
  <c r="Y19" i="18"/>
  <c r="H31" i="18"/>
  <c r="N31" i="18"/>
  <c r="R31" i="18"/>
  <c r="G31" i="18"/>
  <c r="L31" i="18"/>
  <c r="S31" i="18"/>
  <c r="Y27" i="18"/>
  <c r="J21" i="2"/>
  <c r="D39" i="5" l="1"/>
  <c r="D43" i="5"/>
  <c r="D47" i="5"/>
  <c r="D51" i="5"/>
  <c r="D55" i="5"/>
  <c r="D50" i="5"/>
  <c r="D58" i="5"/>
  <c r="D40" i="5"/>
  <c r="D44" i="5"/>
  <c r="D48" i="5"/>
  <c r="D52" i="5"/>
  <c r="D56" i="5"/>
  <c r="D42" i="5"/>
  <c r="D41" i="5"/>
  <c r="D45" i="5"/>
  <c r="D49" i="5"/>
  <c r="D53" i="5"/>
  <c r="D57" i="5"/>
  <c r="D46" i="5"/>
  <c r="D54" i="5"/>
  <c r="P41" i="3"/>
  <c r="P42" i="3"/>
  <c r="P43" i="3"/>
  <c r="N40" i="3"/>
  <c r="N41" i="3"/>
  <c r="N42" i="3"/>
  <c r="N43" i="3"/>
  <c r="N44" i="3"/>
  <c r="I41" i="3"/>
  <c r="I42" i="3"/>
  <c r="I43" i="3"/>
  <c r="I44" i="3"/>
  <c r="H41" i="3"/>
  <c r="H42" i="3"/>
  <c r="H43" i="3"/>
  <c r="H44" i="3"/>
  <c r="G41" i="3"/>
  <c r="G42" i="3"/>
  <c r="G43" i="3"/>
  <c r="G44" i="3"/>
  <c r="F40" i="3"/>
  <c r="F41" i="3"/>
  <c r="U41" i="3" s="1"/>
  <c r="F42" i="3"/>
  <c r="U42" i="3" s="1"/>
  <c r="F43" i="3"/>
  <c r="U43" i="3" s="1"/>
  <c r="F44" i="3"/>
  <c r="U44" i="3" s="1"/>
  <c r="C41" i="3"/>
  <c r="C42" i="3"/>
  <c r="C43" i="3"/>
  <c r="C44" i="3"/>
  <c r="U23" i="3"/>
  <c r="U24" i="3"/>
  <c r="U25" i="3"/>
  <c r="D22" i="3"/>
  <c r="D23" i="3"/>
  <c r="D24" i="3"/>
  <c r="D25" i="3"/>
  <c r="D26" i="3"/>
  <c r="U32" i="3" l="1"/>
  <c r="U33" i="3"/>
  <c r="U34" i="3"/>
  <c r="U35" i="3"/>
  <c r="D30" i="3"/>
  <c r="D31" i="3"/>
  <c r="D32" i="3"/>
  <c r="D33" i="3"/>
  <c r="D34" i="3"/>
  <c r="D35" i="3"/>
  <c r="U14" i="3"/>
  <c r="U15" i="3"/>
  <c r="U16" i="3"/>
  <c r="D13" i="3"/>
  <c r="D14" i="3"/>
  <c r="D15" i="3"/>
  <c r="D16" i="3"/>
  <c r="D17" i="3"/>
  <c r="D12" i="3"/>
  <c r="C21" i="2"/>
  <c r="D18" i="2"/>
  <c r="D17" i="2"/>
  <c r="AA28" i="15" l="1"/>
  <c r="AA22" i="15"/>
  <c r="Z22" i="15"/>
  <c r="Y22" i="15"/>
  <c r="X22" i="15"/>
  <c r="W22" i="15"/>
  <c r="U22" i="15"/>
  <c r="S22" i="15"/>
  <c r="Q22" i="15"/>
  <c r="O22" i="15"/>
  <c r="M22" i="15"/>
  <c r="I22" i="15"/>
  <c r="F22" i="15"/>
  <c r="C22" i="15"/>
  <c r="AA16" i="15"/>
  <c r="Z16" i="15"/>
  <c r="Y16" i="15"/>
  <c r="X16" i="15"/>
  <c r="W16" i="15"/>
  <c r="U16" i="15"/>
  <c r="S16" i="15"/>
  <c r="Q16" i="15"/>
  <c r="O16" i="15"/>
  <c r="M16" i="15"/>
  <c r="I16" i="15"/>
  <c r="F16" i="15"/>
  <c r="C16" i="15"/>
  <c r="Q63" i="7"/>
  <c r="Q47" i="7"/>
  <c r="O47" i="7"/>
  <c r="M47" i="7"/>
  <c r="K47" i="7"/>
  <c r="I47" i="7"/>
  <c r="H47" i="7"/>
  <c r="G47" i="7"/>
  <c r="F47" i="7"/>
  <c r="C47" i="7"/>
  <c r="Q31" i="7"/>
  <c r="O31" i="7"/>
  <c r="M31" i="7"/>
  <c r="K31" i="7"/>
  <c r="I31" i="7"/>
  <c r="H31" i="7"/>
  <c r="G31" i="7"/>
  <c r="F31" i="7"/>
  <c r="C31" i="7"/>
  <c r="Q15" i="7"/>
  <c r="O15" i="7"/>
  <c r="M15" i="7"/>
  <c r="K15" i="7"/>
  <c r="I15" i="7"/>
  <c r="H15" i="7"/>
  <c r="G15" i="7"/>
  <c r="F15" i="7"/>
  <c r="C15" i="7"/>
  <c r="W50" i="6"/>
  <c r="W38" i="6"/>
  <c r="U38" i="6"/>
  <c r="R38" i="6"/>
  <c r="Q38" i="6"/>
  <c r="O38" i="6"/>
  <c r="M38" i="6"/>
  <c r="K38" i="6"/>
  <c r="I38" i="6"/>
  <c r="H38" i="6"/>
  <c r="G38" i="6"/>
  <c r="F38" i="6"/>
  <c r="C38" i="6"/>
  <c r="W26" i="6"/>
  <c r="U26" i="6"/>
  <c r="R26" i="6"/>
  <c r="Q26" i="6"/>
  <c r="O26" i="6"/>
  <c r="M26" i="6"/>
  <c r="K26" i="6"/>
  <c r="H26" i="6"/>
  <c r="G26" i="6"/>
  <c r="F26" i="6"/>
  <c r="C26" i="6"/>
  <c r="W14" i="6"/>
  <c r="U14" i="6"/>
  <c r="R14" i="6"/>
  <c r="Q14" i="6"/>
  <c r="O14" i="6"/>
  <c r="M14" i="6"/>
  <c r="K14" i="6"/>
  <c r="I14" i="6"/>
  <c r="H14" i="6"/>
  <c r="F14" i="6"/>
  <c r="V43" i="4"/>
  <c r="H43" i="4"/>
  <c r="G43" i="4"/>
  <c r="F43" i="4"/>
  <c r="X43" i="4" s="1"/>
  <c r="D50" i="4"/>
  <c r="D49" i="4"/>
  <c r="D48" i="4"/>
  <c r="D47" i="4"/>
  <c r="D46" i="4"/>
  <c r="D45" i="4"/>
  <c r="C43" i="4"/>
  <c r="I29" i="4"/>
  <c r="H29" i="4"/>
  <c r="G29" i="4"/>
  <c r="F29" i="4"/>
  <c r="X29" i="4" s="1"/>
  <c r="C29" i="4"/>
  <c r="L32" i="16" l="1"/>
  <c r="K32" i="16"/>
  <c r="C32" i="16"/>
  <c r="AA29" i="15"/>
  <c r="Z29" i="15"/>
  <c r="Y29" i="15"/>
  <c r="W29" i="15"/>
  <c r="U29" i="15"/>
  <c r="S29" i="15"/>
  <c r="Q29" i="15"/>
  <c r="O29" i="15"/>
  <c r="M29" i="15"/>
  <c r="I29" i="15"/>
  <c r="F29" i="15"/>
  <c r="C29" i="15"/>
  <c r="AA27" i="15"/>
  <c r="Z27" i="15"/>
  <c r="Y27" i="15"/>
  <c r="X27" i="15"/>
  <c r="W27" i="15"/>
  <c r="U27" i="15"/>
  <c r="S27" i="15"/>
  <c r="Q27" i="15"/>
  <c r="O27" i="15"/>
  <c r="M27" i="15"/>
  <c r="I27" i="15"/>
  <c r="F27" i="15"/>
  <c r="C27" i="15"/>
  <c r="AA26" i="15"/>
  <c r="Z26" i="15"/>
  <c r="Z28" i="15" s="1"/>
  <c r="Y26" i="15"/>
  <c r="X26" i="15"/>
  <c r="W26" i="15"/>
  <c r="U26" i="15"/>
  <c r="S26" i="15"/>
  <c r="S28" i="15" s="1"/>
  <c r="Q26" i="15"/>
  <c r="O26" i="15"/>
  <c r="M26" i="15"/>
  <c r="I26" i="15"/>
  <c r="F26" i="15"/>
  <c r="C26" i="15"/>
  <c r="K23" i="15"/>
  <c r="G23" i="15"/>
  <c r="D23" i="15"/>
  <c r="AA21" i="15"/>
  <c r="K21" i="15"/>
  <c r="AA20" i="15"/>
  <c r="K20" i="15"/>
  <c r="AA17" i="15"/>
  <c r="K17" i="15"/>
  <c r="D17" i="15"/>
  <c r="AA15" i="15"/>
  <c r="K15" i="15"/>
  <c r="AA14" i="15"/>
  <c r="P18" i="12"/>
  <c r="O18" i="12"/>
  <c r="N18" i="12"/>
  <c r="Q18" i="12" s="1"/>
  <c r="G18" i="12"/>
  <c r="F18" i="12"/>
  <c r="C18" i="12"/>
  <c r="K18" i="12" s="1"/>
  <c r="O38" i="11"/>
  <c r="N38" i="11"/>
  <c r="I38" i="11"/>
  <c r="H38" i="11"/>
  <c r="G38" i="11"/>
  <c r="F38" i="11"/>
  <c r="C38" i="11"/>
  <c r="O37" i="11"/>
  <c r="N37" i="11"/>
  <c r="I37" i="11"/>
  <c r="H37" i="11"/>
  <c r="G37" i="11"/>
  <c r="F37" i="11"/>
  <c r="C37" i="11"/>
  <c r="O29" i="11"/>
  <c r="J29" i="11"/>
  <c r="D29" i="11"/>
  <c r="O28" i="11"/>
  <c r="J28" i="11"/>
  <c r="O20" i="11"/>
  <c r="J20" i="11"/>
  <c r="D20" i="11"/>
  <c r="O19" i="11"/>
  <c r="J19" i="11"/>
  <c r="M43" i="11"/>
  <c r="O12" i="11"/>
  <c r="O11" i="11"/>
  <c r="M38" i="11"/>
  <c r="D11" i="11"/>
  <c r="O10" i="11"/>
  <c r="M37" i="11"/>
  <c r="J10" i="11"/>
  <c r="O74" i="10"/>
  <c r="N74" i="10"/>
  <c r="I74" i="10"/>
  <c r="H74" i="10"/>
  <c r="G74" i="10"/>
  <c r="F74" i="10"/>
  <c r="C74" i="10"/>
  <c r="D74" i="10" s="1"/>
  <c r="O73" i="10"/>
  <c r="N73" i="10"/>
  <c r="I73" i="10"/>
  <c r="H73" i="10"/>
  <c r="G73" i="10"/>
  <c r="F73" i="10"/>
  <c r="O53" i="10"/>
  <c r="J53" i="10"/>
  <c r="D53" i="10"/>
  <c r="O52" i="10"/>
  <c r="J52" i="10"/>
  <c r="O32" i="10"/>
  <c r="J32" i="10"/>
  <c r="K32" i="10" s="1"/>
  <c r="O31" i="10"/>
  <c r="J31" i="10"/>
  <c r="O11" i="10"/>
  <c r="M74" i="10"/>
  <c r="J11" i="10"/>
  <c r="O10" i="10"/>
  <c r="M73" i="10"/>
  <c r="S27" i="9"/>
  <c r="Q27" i="9"/>
  <c r="O27" i="9"/>
  <c r="M27" i="9"/>
  <c r="K27" i="9"/>
  <c r="I27" i="9"/>
  <c r="H27" i="9"/>
  <c r="G27" i="9"/>
  <c r="F27" i="9"/>
  <c r="C27" i="9"/>
  <c r="S26" i="9"/>
  <c r="Q26" i="9"/>
  <c r="O26" i="9"/>
  <c r="M26" i="9"/>
  <c r="K26" i="9"/>
  <c r="I26" i="9"/>
  <c r="H26" i="9"/>
  <c r="G26" i="9"/>
  <c r="F26" i="9"/>
  <c r="C26" i="9"/>
  <c r="S19" i="9"/>
  <c r="D19" i="9"/>
  <c r="S18" i="9"/>
  <c r="S12" i="9"/>
  <c r="D12" i="9"/>
  <c r="S11" i="9"/>
  <c r="Q73" i="7"/>
  <c r="O73" i="7"/>
  <c r="M73" i="7"/>
  <c r="K73" i="7"/>
  <c r="I73" i="7"/>
  <c r="H73" i="7"/>
  <c r="G73" i="7"/>
  <c r="F73" i="7"/>
  <c r="C73" i="7"/>
  <c r="Q72" i="7"/>
  <c r="O72" i="7"/>
  <c r="M72" i="7"/>
  <c r="K72" i="7"/>
  <c r="I72" i="7"/>
  <c r="H72" i="7"/>
  <c r="G72" i="7"/>
  <c r="F72" i="7"/>
  <c r="C72" i="7"/>
  <c r="Q69" i="7"/>
  <c r="O69" i="7"/>
  <c r="M69" i="7"/>
  <c r="K69" i="7"/>
  <c r="I69" i="7"/>
  <c r="H69" i="7"/>
  <c r="G69" i="7"/>
  <c r="F69" i="7"/>
  <c r="C69" i="7"/>
  <c r="Q68" i="7"/>
  <c r="O68" i="7"/>
  <c r="M68" i="7"/>
  <c r="K68" i="7"/>
  <c r="I68" i="7"/>
  <c r="H68" i="7"/>
  <c r="G68" i="7"/>
  <c r="F68" i="7"/>
  <c r="C68" i="7"/>
  <c r="Q67" i="7"/>
  <c r="O67" i="7"/>
  <c r="M67" i="7"/>
  <c r="K67" i="7"/>
  <c r="I67" i="7"/>
  <c r="H67" i="7"/>
  <c r="G67" i="7"/>
  <c r="F67" i="7"/>
  <c r="C67" i="7"/>
  <c r="Q66" i="7"/>
  <c r="O66" i="7"/>
  <c r="M66" i="7"/>
  <c r="K66" i="7"/>
  <c r="I66" i="7"/>
  <c r="H66" i="7"/>
  <c r="G66" i="7"/>
  <c r="F66" i="7"/>
  <c r="C66" i="7"/>
  <c r="Q65" i="7"/>
  <c r="O65" i="7"/>
  <c r="M65" i="7"/>
  <c r="K65" i="7"/>
  <c r="I65" i="7"/>
  <c r="H65" i="7"/>
  <c r="G65" i="7"/>
  <c r="F65" i="7"/>
  <c r="C65" i="7"/>
  <c r="Q64" i="7"/>
  <c r="O64" i="7"/>
  <c r="M64" i="7"/>
  <c r="K64" i="7"/>
  <c r="I64" i="7"/>
  <c r="H64" i="7"/>
  <c r="G64" i="7"/>
  <c r="F64" i="7"/>
  <c r="C64" i="7"/>
  <c r="Q62" i="7"/>
  <c r="O62" i="7"/>
  <c r="M62" i="7"/>
  <c r="K62" i="7"/>
  <c r="I62" i="7"/>
  <c r="H62" i="7"/>
  <c r="G62" i="7"/>
  <c r="F62" i="7"/>
  <c r="C62" i="7"/>
  <c r="Q61" i="7"/>
  <c r="O61" i="7"/>
  <c r="M61" i="7"/>
  <c r="K61" i="7"/>
  <c r="I61" i="7"/>
  <c r="H61" i="7"/>
  <c r="G61" i="7"/>
  <c r="F61" i="7"/>
  <c r="C61" i="7"/>
  <c r="Q60" i="7"/>
  <c r="O60" i="7"/>
  <c r="M60" i="7"/>
  <c r="K60" i="7"/>
  <c r="I60" i="7"/>
  <c r="H60" i="7"/>
  <c r="G60" i="7"/>
  <c r="F60" i="7"/>
  <c r="F63" i="7" s="1"/>
  <c r="C60" i="7"/>
  <c r="Q57" i="7"/>
  <c r="D57" i="7"/>
  <c r="Q56" i="7"/>
  <c r="D56" i="7"/>
  <c r="Q53" i="7"/>
  <c r="D53" i="7"/>
  <c r="Q52" i="7"/>
  <c r="D52" i="7"/>
  <c r="Q51" i="7"/>
  <c r="D51" i="7"/>
  <c r="Q50" i="7"/>
  <c r="D50" i="7"/>
  <c r="Q49" i="7"/>
  <c r="D49" i="7"/>
  <c r="Q48" i="7"/>
  <c r="Q46" i="7"/>
  <c r="Q45" i="7"/>
  <c r="Q44" i="7"/>
  <c r="Q41" i="7"/>
  <c r="D41" i="7"/>
  <c r="D40" i="7"/>
  <c r="Q37" i="7"/>
  <c r="D37" i="7"/>
  <c r="Q36" i="7"/>
  <c r="D36" i="7"/>
  <c r="Q35" i="7"/>
  <c r="D35" i="7"/>
  <c r="Q34" i="7"/>
  <c r="D34" i="7"/>
  <c r="Q33" i="7"/>
  <c r="D33" i="7"/>
  <c r="Q32" i="7"/>
  <c r="Q30" i="7"/>
  <c r="Q29" i="7"/>
  <c r="Q28" i="7"/>
  <c r="Q25" i="7"/>
  <c r="D25" i="7"/>
  <c r="Q24" i="7"/>
  <c r="D24" i="7"/>
  <c r="Q21" i="7"/>
  <c r="D21" i="7"/>
  <c r="Q20" i="7"/>
  <c r="D20" i="7"/>
  <c r="Q19" i="7"/>
  <c r="D19" i="7"/>
  <c r="Q18" i="7"/>
  <c r="D18" i="7"/>
  <c r="Q17" i="7"/>
  <c r="D17" i="7"/>
  <c r="Q16" i="7"/>
  <c r="Q14" i="7"/>
  <c r="Q13" i="7"/>
  <c r="Q12" i="7"/>
  <c r="W56" i="6"/>
  <c r="U56" i="6"/>
  <c r="R56" i="6"/>
  <c r="Q56" i="6"/>
  <c r="O56" i="6"/>
  <c r="M56" i="6"/>
  <c r="K56" i="6"/>
  <c r="I56" i="6"/>
  <c r="H56" i="6"/>
  <c r="G56" i="6"/>
  <c r="F56" i="6"/>
  <c r="C56" i="6"/>
  <c r="W54" i="6"/>
  <c r="U54" i="6"/>
  <c r="R54" i="6"/>
  <c r="Q54" i="6"/>
  <c r="O54" i="6"/>
  <c r="M54" i="6"/>
  <c r="K54" i="6"/>
  <c r="I54" i="6"/>
  <c r="H54" i="6"/>
  <c r="G54" i="6"/>
  <c r="F54" i="6"/>
  <c r="C54" i="6"/>
  <c r="W53" i="6"/>
  <c r="U53" i="6"/>
  <c r="R53" i="6"/>
  <c r="Q53" i="6"/>
  <c r="O53" i="6"/>
  <c r="M53" i="6"/>
  <c r="K53" i="6"/>
  <c r="I53" i="6"/>
  <c r="H53" i="6"/>
  <c r="G53" i="6"/>
  <c r="F53" i="6"/>
  <c r="C53" i="6"/>
  <c r="W52" i="6"/>
  <c r="U52" i="6"/>
  <c r="R52" i="6"/>
  <c r="Q52" i="6"/>
  <c r="O52" i="6"/>
  <c r="M52" i="6"/>
  <c r="K52" i="6"/>
  <c r="I52" i="6"/>
  <c r="H52" i="6"/>
  <c r="G52" i="6"/>
  <c r="F52" i="6"/>
  <c r="C52" i="6"/>
  <c r="W51" i="6"/>
  <c r="U51" i="6"/>
  <c r="R51" i="6"/>
  <c r="Q51" i="6"/>
  <c r="O51" i="6"/>
  <c r="M51" i="6"/>
  <c r="K51" i="6"/>
  <c r="I51" i="6"/>
  <c r="H51" i="6"/>
  <c r="G51" i="6"/>
  <c r="F51" i="6"/>
  <c r="C51" i="6"/>
  <c r="W49" i="6"/>
  <c r="U49" i="6"/>
  <c r="R49" i="6"/>
  <c r="Q49" i="6"/>
  <c r="O49" i="6"/>
  <c r="M49" i="6"/>
  <c r="K49" i="6"/>
  <c r="I49" i="6"/>
  <c r="H49" i="6"/>
  <c r="G49" i="6"/>
  <c r="F49" i="6"/>
  <c r="C49" i="6"/>
  <c r="W48" i="6"/>
  <c r="U48" i="6"/>
  <c r="R48" i="6"/>
  <c r="Q48" i="6"/>
  <c r="O48" i="6"/>
  <c r="M48" i="6"/>
  <c r="K48" i="6"/>
  <c r="I48" i="6"/>
  <c r="H48" i="6"/>
  <c r="G48" i="6"/>
  <c r="F48" i="6"/>
  <c r="C48" i="6"/>
  <c r="W47" i="6"/>
  <c r="X47" i="6" s="1"/>
  <c r="U47" i="6"/>
  <c r="R47" i="6"/>
  <c r="Q47" i="6"/>
  <c r="Q50" i="6" s="1"/>
  <c r="O47" i="6"/>
  <c r="M47" i="6"/>
  <c r="K47" i="6"/>
  <c r="K50" i="6" s="1"/>
  <c r="I47" i="6"/>
  <c r="H47" i="6"/>
  <c r="H50" i="6" s="1"/>
  <c r="G47" i="6"/>
  <c r="F47" i="6"/>
  <c r="F50" i="6" s="1"/>
  <c r="C47" i="6"/>
  <c r="D55" i="6" s="1"/>
  <c r="W44" i="6"/>
  <c r="D44" i="6"/>
  <c r="W42" i="6"/>
  <c r="D42" i="6"/>
  <c r="W41" i="6"/>
  <c r="D41" i="6"/>
  <c r="W40" i="6"/>
  <c r="D40" i="6"/>
  <c r="W39" i="6"/>
  <c r="D39" i="6"/>
  <c r="W37" i="6"/>
  <c r="W36" i="6"/>
  <c r="W35" i="6"/>
  <c r="W32" i="6"/>
  <c r="D32" i="6"/>
  <c r="W30" i="6"/>
  <c r="D30" i="6"/>
  <c r="W29" i="6"/>
  <c r="D29" i="6"/>
  <c r="W28" i="6"/>
  <c r="D28" i="6"/>
  <c r="W27" i="6"/>
  <c r="D27" i="6"/>
  <c r="W25" i="6"/>
  <c r="W24" i="6"/>
  <c r="W23" i="6"/>
  <c r="W20" i="6"/>
  <c r="D20" i="6"/>
  <c r="W18" i="6"/>
  <c r="D18" i="6"/>
  <c r="W17" i="6"/>
  <c r="D17" i="6"/>
  <c r="W16" i="6"/>
  <c r="D16" i="6"/>
  <c r="W15" i="6"/>
  <c r="W13" i="6"/>
  <c r="W12" i="6"/>
  <c r="W11" i="6"/>
  <c r="P36" i="8"/>
  <c r="O36" i="8"/>
  <c r="K36" i="8"/>
  <c r="J36" i="8"/>
  <c r="I36" i="8"/>
  <c r="H36" i="8"/>
  <c r="G36" i="8"/>
  <c r="F36" i="8"/>
  <c r="Q36" i="8" s="1"/>
  <c r="C36" i="8"/>
  <c r="D36" i="8" s="1"/>
  <c r="P34" i="8"/>
  <c r="O34" i="8"/>
  <c r="K34" i="8"/>
  <c r="J34" i="8"/>
  <c r="I34" i="8"/>
  <c r="H34" i="8"/>
  <c r="G34" i="8"/>
  <c r="F34" i="8"/>
  <c r="Q34" i="8" s="1"/>
  <c r="C34" i="8"/>
  <c r="P33" i="8"/>
  <c r="O33" i="8"/>
  <c r="K33" i="8"/>
  <c r="J33" i="8"/>
  <c r="I33" i="8"/>
  <c r="H33" i="8"/>
  <c r="G33" i="8"/>
  <c r="F33" i="8"/>
  <c r="Q33" i="8" s="1"/>
  <c r="C33" i="8"/>
  <c r="P32" i="8"/>
  <c r="O32" i="8"/>
  <c r="K32" i="8"/>
  <c r="J32" i="8"/>
  <c r="I32" i="8"/>
  <c r="H32" i="8"/>
  <c r="G32" i="8"/>
  <c r="F32" i="8"/>
  <c r="Q32" i="8" s="1"/>
  <c r="C32" i="8"/>
  <c r="D35" i="8" s="1"/>
  <c r="Q29" i="8"/>
  <c r="L29" i="8"/>
  <c r="D29" i="8"/>
  <c r="Q27" i="8"/>
  <c r="L27" i="8"/>
  <c r="D27" i="8"/>
  <c r="Q26" i="8"/>
  <c r="L26" i="8"/>
  <c r="D26" i="8"/>
  <c r="Q25" i="8"/>
  <c r="L25" i="8"/>
  <c r="M28" i="8" s="1"/>
  <c r="Q20" i="8"/>
  <c r="Q19" i="8"/>
  <c r="L19" i="8"/>
  <c r="D19" i="8"/>
  <c r="Q18" i="8"/>
  <c r="L18" i="8"/>
  <c r="Q12" i="8"/>
  <c r="L12" i="8"/>
  <c r="Q11" i="8"/>
  <c r="G108" i="5"/>
  <c r="F108" i="5"/>
  <c r="Q108" i="5" s="1"/>
  <c r="G107" i="5"/>
  <c r="F107" i="5"/>
  <c r="Q107" i="5" s="1"/>
  <c r="G106" i="5"/>
  <c r="F106" i="5"/>
  <c r="Q106" i="5" s="1"/>
  <c r="G105" i="5"/>
  <c r="F105" i="5"/>
  <c r="Q105" i="5" s="1"/>
  <c r="G104" i="5"/>
  <c r="F104" i="5"/>
  <c r="Q104" i="5" s="1"/>
  <c r="G103" i="5"/>
  <c r="F103" i="5"/>
  <c r="Q103" i="5" s="1"/>
  <c r="G99" i="5"/>
  <c r="F99" i="5"/>
  <c r="Q99" i="5" s="1"/>
  <c r="G98" i="5"/>
  <c r="F98" i="5"/>
  <c r="Q98" i="5" s="1"/>
  <c r="G97" i="5"/>
  <c r="F97" i="5"/>
  <c r="Q97" i="5" s="1"/>
  <c r="G96" i="5"/>
  <c r="F96" i="5"/>
  <c r="Q96" i="5" s="1"/>
  <c r="G95" i="5"/>
  <c r="F95" i="5"/>
  <c r="Q95" i="5" s="1"/>
  <c r="G94" i="5"/>
  <c r="F94" i="5"/>
  <c r="Q94" i="5" s="1"/>
  <c r="G93" i="5"/>
  <c r="F93" i="5"/>
  <c r="Q93" i="5" s="1"/>
  <c r="G92" i="5"/>
  <c r="F92" i="5"/>
  <c r="Q92" i="5" s="1"/>
  <c r="G91" i="5"/>
  <c r="F91" i="5"/>
  <c r="Q91" i="5" s="1"/>
  <c r="G90" i="5"/>
  <c r="F90" i="5"/>
  <c r="Q90" i="5" s="1"/>
  <c r="G89" i="5"/>
  <c r="F89" i="5"/>
  <c r="Q89" i="5" s="1"/>
  <c r="G87" i="5"/>
  <c r="G88" i="5" s="1"/>
  <c r="F87" i="5"/>
  <c r="Q83" i="5"/>
  <c r="L83" i="5"/>
  <c r="M83" i="5" s="1"/>
  <c r="Q82" i="5"/>
  <c r="L82" i="5"/>
  <c r="M82" i="5" s="1"/>
  <c r="Q81" i="5"/>
  <c r="L81" i="5"/>
  <c r="M81" i="5" s="1"/>
  <c r="Q80" i="5"/>
  <c r="L80" i="5"/>
  <c r="M80" i="5" s="1"/>
  <c r="Q79" i="5"/>
  <c r="L79" i="5"/>
  <c r="M79" i="5" s="1"/>
  <c r="Q78" i="5"/>
  <c r="L78" i="5"/>
  <c r="M78" i="5" s="1"/>
  <c r="Q74" i="5"/>
  <c r="L74" i="5"/>
  <c r="M74" i="5" s="1"/>
  <c r="Q73" i="5"/>
  <c r="L73" i="5"/>
  <c r="M73" i="5" s="1"/>
  <c r="Q72" i="5"/>
  <c r="L72" i="5"/>
  <c r="M72" i="5" s="1"/>
  <c r="Q71" i="5"/>
  <c r="L71" i="5"/>
  <c r="M71" i="5" s="1"/>
  <c r="Q70" i="5"/>
  <c r="L70" i="5"/>
  <c r="M70" i="5" s="1"/>
  <c r="Q69" i="5"/>
  <c r="L69" i="5"/>
  <c r="M69" i="5" s="1"/>
  <c r="Q68" i="5"/>
  <c r="L68" i="5"/>
  <c r="M68" i="5" s="1"/>
  <c r="Q67" i="5"/>
  <c r="L67" i="5"/>
  <c r="M67" i="5" s="1"/>
  <c r="Q66" i="5"/>
  <c r="L66" i="5"/>
  <c r="M66" i="5" s="1"/>
  <c r="Q65" i="5"/>
  <c r="L65" i="5"/>
  <c r="M65" i="5" s="1"/>
  <c r="Q64" i="5"/>
  <c r="L64" i="5"/>
  <c r="M64" i="5" s="1"/>
  <c r="L62" i="5"/>
  <c r="Q86" i="5"/>
  <c r="Q37" i="5"/>
  <c r="V64" i="4"/>
  <c r="I64" i="4"/>
  <c r="H64" i="4"/>
  <c r="G64" i="4"/>
  <c r="F64" i="4"/>
  <c r="X64" i="4" s="1"/>
  <c r="C64" i="4"/>
  <c r="V63" i="4"/>
  <c r="I63" i="4"/>
  <c r="H63" i="4"/>
  <c r="G63" i="4"/>
  <c r="F63" i="4"/>
  <c r="X63" i="4" s="1"/>
  <c r="C63" i="4"/>
  <c r="V62" i="4"/>
  <c r="I62" i="4"/>
  <c r="H62" i="4"/>
  <c r="G62" i="4"/>
  <c r="F62" i="4"/>
  <c r="X62" i="4" s="1"/>
  <c r="C62" i="4"/>
  <c r="V61" i="4"/>
  <c r="I61" i="4"/>
  <c r="H61" i="4"/>
  <c r="G61" i="4"/>
  <c r="F61" i="4"/>
  <c r="X61" i="4" s="1"/>
  <c r="C61" i="4"/>
  <c r="V60" i="4"/>
  <c r="I60" i="4"/>
  <c r="H60" i="4"/>
  <c r="G60" i="4"/>
  <c r="F60" i="4"/>
  <c r="X60" i="4" s="1"/>
  <c r="C60" i="4"/>
  <c r="V59" i="4"/>
  <c r="I59" i="4"/>
  <c r="H59" i="4"/>
  <c r="G59" i="4"/>
  <c r="F59" i="4"/>
  <c r="X59" i="4" s="1"/>
  <c r="C59" i="4"/>
  <c r="V58" i="4"/>
  <c r="I58" i="4"/>
  <c r="H58" i="4"/>
  <c r="G58" i="4"/>
  <c r="F58" i="4"/>
  <c r="X58" i="4" s="1"/>
  <c r="C58" i="4"/>
  <c r="V56" i="4"/>
  <c r="I56" i="4"/>
  <c r="H56" i="4"/>
  <c r="G56" i="4"/>
  <c r="F56" i="4"/>
  <c r="X56" i="4" s="1"/>
  <c r="C56" i="4"/>
  <c r="V55" i="4"/>
  <c r="I55" i="4"/>
  <c r="H55" i="4"/>
  <c r="G55" i="4"/>
  <c r="F55" i="4"/>
  <c r="X55" i="4" s="1"/>
  <c r="C55" i="4"/>
  <c r="V54" i="4"/>
  <c r="I54" i="4"/>
  <c r="H54" i="4"/>
  <c r="G54" i="4"/>
  <c r="F54" i="4"/>
  <c r="X54" i="4" s="1"/>
  <c r="C54" i="4"/>
  <c r="V53" i="4"/>
  <c r="S57" i="4"/>
  <c r="P57" i="4"/>
  <c r="L57" i="4"/>
  <c r="J57" i="4"/>
  <c r="I53" i="4"/>
  <c r="H53" i="4"/>
  <c r="G53" i="4"/>
  <c r="G57" i="4" s="1"/>
  <c r="F53" i="4"/>
  <c r="C53" i="4"/>
  <c r="X50" i="4"/>
  <c r="X49" i="4"/>
  <c r="X48" i="4"/>
  <c r="X47" i="4"/>
  <c r="X46" i="4"/>
  <c r="X45" i="4"/>
  <c r="X44" i="4"/>
  <c r="X42" i="4"/>
  <c r="X41" i="4"/>
  <c r="X40" i="4"/>
  <c r="X39" i="4"/>
  <c r="X36" i="4"/>
  <c r="D36" i="4"/>
  <c r="X35" i="4"/>
  <c r="D35" i="4"/>
  <c r="X34" i="4"/>
  <c r="D34" i="4"/>
  <c r="X33" i="4"/>
  <c r="D33" i="4"/>
  <c r="X32" i="4"/>
  <c r="D32" i="4"/>
  <c r="X31" i="4"/>
  <c r="D31" i="4"/>
  <c r="X30" i="4"/>
  <c r="X28" i="4"/>
  <c r="X27" i="4"/>
  <c r="X26" i="4"/>
  <c r="X25" i="4"/>
  <c r="D22" i="4"/>
  <c r="X21" i="4"/>
  <c r="D21" i="4"/>
  <c r="X20" i="4"/>
  <c r="D20" i="4"/>
  <c r="X19" i="4"/>
  <c r="D19" i="4"/>
  <c r="X18" i="4"/>
  <c r="D18" i="4"/>
  <c r="X17" i="4"/>
  <c r="D17" i="4"/>
  <c r="X16" i="4"/>
  <c r="I15" i="4"/>
  <c r="H15" i="4"/>
  <c r="F15" i="4"/>
  <c r="X15" i="4" s="1"/>
  <c r="C15" i="4"/>
  <c r="X14" i="4"/>
  <c r="X13" i="4"/>
  <c r="X12" i="4"/>
  <c r="X11" i="4"/>
  <c r="P44" i="3"/>
  <c r="P40" i="3"/>
  <c r="I40" i="3"/>
  <c r="H40" i="3"/>
  <c r="G40" i="3"/>
  <c r="U40" i="3"/>
  <c r="C40" i="3"/>
  <c r="P39" i="3"/>
  <c r="N39" i="3"/>
  <c r="I39" i="3"/>
  <c r="H39" i="3"/>
  <c r="G39" i="3"/>
  <c r="F39" i="3"/>
  <c r="U39" i="3" s="1"/>
  <c r="C39" i="3"/>
  <c r="P38" i="3"/>
  <c r="N38" i="3"/>
  <c r="I38" i="3"/>
  <c r="H38" i="3"/>
  <c r="G38" i="3"/>
  <c r="F38" i="3"/>
  <c r="U38" i="3" s="1"/>
  <c r="C38" i="3"/>
  <c r="U31" i="3"/>
  <c r="U30" i="3"/>
  <c r="U29" i="3"/>
  <c r="U26" i="3"/>
  <c r="U22" i="3"/>
  <c r="U21" i="3"/>
  <c r="D21" i="3"/>
  <c r="U20" i="3"/>
  <c r="U17" i="3"/>
  <c r="U13" i="3"/>
  <c r="U12" i="3"/>
  <c r="U11" i="3"/>
  <c r="P23" i="2"/>
  <c r="N23" i="2"/>
  <c r="L23" i="2"/>
  <c r="J23" i="2"/>
  <c r="I23" i="2"/>
  <c r="H23" i="2"/>
  <c r="G23" i="2"/>
  <c r="F23" i="2"/>
  <c r="R23" i="2" s="1"/>
  <c r="C23" i="2"/>
  <c r="D23" i="2" s="1"/>
  <c r="P22" i="2"/>
  <c r="N22" i="2"/>
  <c r="L22" i="2"/>
  <c r="J22" i="2"/>
  <c r="I22" i="2"/>
  <c r="H22" i="2"/>
  <c r="G22" i="2"/>
  <c r="F22" i="2"/>
  <c r="R22" i="2" s="1"/>
  <c r="C22" i="2"/>
  <c r="D22" i="2" s="1"/>
  <c r="P21" i="2"/>
  <c r="N21" i="2"/>
  <c r="L21" i="2"/>
  <c r="I21" i="2"/>
  <c r="H21" i="2"/>
  <c r="G21" i="2"/>
  <c r="F21" i="2"/>
  <c r="R21" i="2" s="1"/>
  <c r="R18" i="2"/>
  <c r="R17" i="2"/>
  <c r="R16" i="2"/>
  <c r="R13" i="2"/>
  <c r="D13" i="2"/>
  <c r="R12" i="2"/>
  <c r="D12" i="2"/>
  <c r="R11" i="2"/>
  <c r="Q24" i="1"/>
  <c r="P24" i="1"/>
  <c r="N24" i="1"/>
  <c r="L24" i="1"/>
  <c r="J24" i="1"/>
  <c r="I24" i="1"/>
  <c r="H24" i="1"/>
  <c r="G24" i="1"/>
  <c r="F24" i="1"/>
  <c r="U24" i="1" s="1"/>
  <c r="C24" i="1"/>
  <c r="Q23" i="1"/>
  <c r="P23" i="1"/>
  <c r="N23" i="1"/>
  <c r="L23" i="1"/>
  <c r="J23" i="1"/>
  <c r="I23" i="1"/>
  <c r="H23" i="1"/>
  <c r="G23" i="1"/>
  <c r="F23" i="1"/>
  <c r="U23" i="1" s="1"/>
  <c r="C23" i="1"/>
  <c r="U20" i="1"/>
  <c r="D20" i="1"/>
  <c r="U16" i="1"/>
  <c r="D16" i="1"/>
  <c r="U15" i="1"/>
  <c r="U12" i="1"/>
  <c r="D12" i="1"/>
  <c r="U11" i="1"/>
  <c r="D39" i="3" l="1"/>
  <c r="M21" i="8"/>
  <c r="M22" i="8"/>
  <c r="M20" i="8"/>
  <c r="D70" i="7"/>
  <c r="D71" i="7"/>
  <c r="K13" i="11"/>
  <c r="K12" i="11"/>
  <c r="K14" i="11"/>
  <c r="K15" i="11"/>
  <c r="K16" i="11"/>
  <c r="K22" i="11"/>
  <c r="K23" i="11"/>
  <c r="K21" i="11"/>
  <c r="K25" i="11"/>
  <c r="K24" i="11"/>
  <c r="D30" i="9"/>
  <c r="D28" i="9"/>
  <c r="D29" i="9"/>
  <c r="K55" i="10"/>
  <c r="K59" i="10"/>
  <c r="K63" i="10"/>
  <c r="K67" i="10"/>
  <c r="K56" i="10"/>
  <c r="K62" i="10"/>
  <c r="K57" i="10"/>
  <c r="K68" i="10"/>
  <c r="K58" i="10"/>
  <c r="K69" i="10"/>
  <c r="K64" i="10"/>
  <c r="K70" i="10"/>
  <c r="K54" i="10"/>
  <c r="K65" i="10"/>
  <c r="K60" i="10"/>
  <c r="K66" i="10"/>
  <c r="K61" i="10"/>
  <c r="K34" i="11"/>
  <c r="K30" i="11"/>
  <c r="K33" i="11"/>
  <c r="K31" i="11"/>
  <c r="K32" i="11"/>
  <c r="H32" i="16"/>
  <c r="D36" i="16"/>
  <c r="D35" i="16"/>
  <c r="D38" i="16"/>
  <c r="D34" i="16"/>
  <c r="D33" i="16"/>
  <c r="D37" i="16"/>
  <c r="D44" i="3"/>
  <c r="D43" i="3"/>
  <c r="D42" i="3"/>
  <c r="D41" i="3"/>
  <c r="K33" i="10"/>
  <c r="K37" i="10"/>
  <c r="K41" i="10"/>
  <c r="K45" i="10"/>
  <c r="K49" i="10"/>
  <c r="K34" i="10"/>
  <c r="K38" i="10"/>
  <c r="K42" i="10"/>
  <c r="K46" i="10"/>
  <c r="K48" i="10"/>
  <c r="K35" i="10"/>
  <c r="K44" i="10"/>
  <c r="K47" i="10"/>
  <c r="K40" i="10"/>
  <c r="K43" i="10"/>
  <c r="K36" i="10"/>
  <c r="K39" i="10"/>
  <c r="D42" i="11"/>
  <c r="D41" i="11"/>
  <c r="D43" i="11"/>
  <c r="D40" i="11"/>
  <c r="D39" i="11"/>
  <c r="Q87" i="5"/>
  <c r="F88" i="5"/>
  <c r="Q88" i="5" s="1"/>
  <c r="D40" i="3"/>
  <c r="D34" i="8"/>
  <c r="C28" i="15"/>
  <c r="D29" i="15" s="1"/>
  <c r="O28" i="15"/>
  <c r="Q28" i="15"/>
  <c r="K29" i="15"/>
  <c r="L23" i="15"/>
  <c r="K27" i="15"/>
  <c r="X28" i="15"/>
  <c r="U28" i="15"/>
  <c r="K16" i="15"/>
  <c r="Y28" i="15"/>
  <c r="W28" i="15"/>
  <c r="F28" i="15"/>
  <c r="G29" i="15"/>
  <c r="K29" i="11"/>
  <c r="K11" i="11"/>
  <c r="J38" i="11"/>
  <c r="D38" i="11"/>
  <c r="K20" i="11"/>
  <c r="J37" i="11"/>
  <c r="M27" i="8"/>
  <c r="K11" i="10"/>
  <c r="J74" i="10"/>
  <c r="D24" i="1"/>
  <c r="M29" i="8"/>
  <c r="M26" i="8"/>
  <c r="M19" i="8"/>
  <c r="L36" i="8"/>
  <c r="L34" i="8"/>
  <c r="M12" i="8"/>
  <c r="D33" i="8"/>
  <c r="L32" i="8"/>
  <c r="L91" i="5"/>
  <c r="L96" i="5"/>
  <c r="I50" i="6"/>
  <c r="L89" i="5"/>
  <c r="L103" i="5"/>
  <c r="L98" i="5"/>
  <c r="L92" i="5"/>
  <c r="L95" i="5"/>
  <c r="L104" i="5"/>
  <c r="L106" i="5"/>
  <c r="L87" i="5"/>
  <c r="L93" i="5"/>
  <c r="L99" i="5"/>
  <c r="L108" i="5"/>
  <c r="D27" i="9"/>
  <c r="K63" i="7"/>
  <c r="D64" i="7"/>
  <c r="H63" i="7"/>
  <c r="I63" i="7"/>
  <c r="R50" i="6"/>
  <c r="M50" i="6"/>
  <c r="D56" i="6"/>
  <c r="I57" i="4"/>
  <c r="H57" i="4"/>
  <c r="N57" i="4"/>
  <c r="D59" i="4"/>
  <c r="C57" i="4"/>
  <c r="D58" i="4"/>
  <c r="D60" i="4"/>
  <c r="D61" i="4"/>
  <c r="D62" i="4"/>
  <c r="D63" i="4"/>
  <c r="D64" i="4"/>
  <c r="X53" i="4"/>
  <c r="Y53" i="4" s="1"/>
  <c r="F57" i="4"/>
  <c r="X57" i="4" s="1"/>
  <c r="L97" i="5"/>
  <c r="L33" i="8"/>
  <c r="G50" i="6"/>
  <c r="M28" i="15"/>
  <c r="M63" i="7"/>
  <c r="O63" i="7"/>
  <c r="D67" i="7"/>
  <c r="D73" i="7"/>
  <c r="K53" i="10"/>
  <c r="L90" i="5"/>
  <c r="L105" i="5"/>
  <c r="L107" i="5"/>
  <c r="O50" i="6"/>
  <c r="D66" i="7"/>
  <c r="R57" i="4"/>
  <c r="C88" i="5"/>
  <c r="X11" i="6"/>
  <c r="U50" i="6"/>
  <c r="L94" i="5"/>
  <c r="D68" i="7"/>
  <c r="C63" i="7"/>
  <c r="J73" i="10"/>
  <c r="L17" i="15"/>
  <c r="V57" i="4"/>
  <c r="X23" i="6"/>
  <c r="C50" i="6"/>
  <c r="D65" i="7"/>
  <c r="D69" i="7"/>
  <c r="I28" i="15"/>
  <c r="D51" i="6"/>
  <c r="D52" i="6"/>
  <c r="D54" i="6"/>
  <c r="G63" i="7"/>
  <c r="K22" i="15"/>
  <c r="K26" i="15"/>
  <c r="K28" i="15" s="1"/>
  <c r="D72" i="7"/>
  <c r="X35" i="6"/>
  <c r="D53" i="6"/>
  <c r="Y39" i="4"/>
  <c r="Y11" i="4"/>
  <c r="Y25" i="4"/>
  <c r="K89" i="10" l="1"/>
  <c r="K86" i="10"/>
  <c r="K76" i="10"/>
  <c r="K83" i="10"/>
  <c r="K90" i="10"/>
  <c r="K85" i="10"/>
  <c r="K88" i="10"/>
  <c r="K82" i="10"/>
  <c r="K79" i="10"/>
  <c r="K81" i="10"/>
  <c r="K84" i="10"/>
  <c r="K91" i="10"/>
  <c r="K75" i="10"/>
  <c r="K77" i="10"/>
  <c r="K80" i="10"/>
  <c r="K87" i="10"/>
  <c r="K78" i="10"/>
  <c r="I35" i="16"/>
  <c r="I36" i="16"/>
  <c r="I33" i="16"/>
  <c r="I34" i="16"/>
  <c r="I38" i="16"/>
  <c r="I37" i="16"/>
  <c r="M36" i="8"/>
  <c r="M35" i="8"/>
  <c r="K42" i="11"/>
  <c r="K43" i="11"/>
  <c r="K41" i="11"/>
  <c r="K39" i="11"/>
  <c r="K40" i="11"/>
  <c r="K38" i="11"/>
  <c r="D100" i="5"/>
  <c r="D101" i="5"/>
  <c r="D102" i="5"/>
  <c r="L88" i="5"/>
  <c r="M103" i="5" s="1"/>
  <c r="D97" i="5"/>
  <c r="D92" i="5"/>
  <c r="D90" i="5"/>
  <c r="D91" i="5"/>
  <c r="D104" i="5"/>
  <c r="D94" i="5"/>
  <c r="D93" i="5"/>
  <c r="D105" i="5"/>
  <c r="D106" i="5"/>
  <c r="D103" i="5"/>
  <c r="D107" i="5"/>
  <c r="D95" i="5"/>
  <c r="D108" i="5"/>
  <c r="D89" i="5"/>
  <c r="D98" i="5"/>
  <c r="D99" i="5"/>
  <c r="D96" i="5"/>
  <c r="M33" i="8"/>
  <c r="M34" i="8"/>
  <c r="L86" i="5"/>
  <c r="K74" i="10"/>
  <c r="L29" i="15"/>
  <c r="M97" i="5" l="1"/>
  <c r="M98" i="5"/>
  <c r="M95" i="5"/>
  <c r="M100" i="5"/>
  <c r="M101" i="5"/>
  <c r="M102" i="5"/>
  <c r="M107" i="5"/>
  <c r="M96" i="5"/>
  <c r="M93" i="5"/>
  <c r="M108" i="5"/>
  <c r="M104" i="5"/>
  <c r="M106" i="5"/>
  <c r="M105" i="5"/>
  <c r="M99" i="5"/>
  <c r="M94" i="5"/>
  <c r="M92" i="5"/>
  <c r="M89" i="5"/>
  <c r="M91" i="5"/>
  <c r="M90" i="5"/>
</calcChain>
</file>

<file path=xl/sharedStrings.xml><?xml version="1.0" encoding="utf-8"?>
<sst xmlns="http://schemas.openxmlformats.org/spreadsheetml/2006/main" count="2398" uniqueCount="687">
  <si>
    <r>
      <t>Ziemas tritikāle  (</t>
    </r>
    <r>
      <rPr>
        <b/>
        <i/>
        <sz val="12"/>
        <color indexed="8"/>
        <rFont val="Verdana"/>
        <family val="2"/>
      </rPr>
      <t>Triticosecale Wittm. Ex a.Camus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</si>
  <si>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t xml:space="preserve">Nr. p. k. </t>
  </si>
  <si>
    <t>Šķirnes
Variety</t>
  </si>
  <si>
    <t xml:space="preserve">Raža
Yield </t>
  </si>
  <si>
    <t>Ziemcietība
Winterhardness</t>
  </si>
  <si>
    <t>Izturība pret veldri
Lodging</t>
  </si>
  <si>
    <t xml:space="preserve">Auga garums
Plant length </t>
  </si>
  <si>
    <t>Veģetācija perioda garums
Growing period</t>
  </si>
  <si>
    <t>Tilpummasa
Volume weight</t>
  </si>
  <si>
    <t>Proteīna saturs
Protein content</t>
  </si>
  <si>
    <t>1000 graudu masa
TKW</t>
  </si>
  <si>
    <t>Krišanas skaitlis
Falling number</t>
  </si>
  <si>
    <t>Cietes saturs
Starch content</t>
  </si>
  <si>
    <t>Kopējās balles
Total rating</t>
  </si>
  <si>
    <r>
      <t xml:space="preserve"> t ha</t>
    </r>
    <r>
      <rPr>
        <vertAlign val="superscript"/>
        <sz val="10"/>
        <color indexed="8"/>
        <rFont val="Verdana"/>
        <family val="2"/>
      </rPr>
      <t>-1</t>
    </r>
  </si>
  <si>
    <t>% no standarta
% from standard</t>
  </si>
  <si>
    <t>balles
rating</t>
  </si>
  <si>
    <t xml:space="preserve"> balles
rating </t>
  </si>
  <si>
    <t>cm</t>
  </si>
  <si>
    <t>dienas
days</t>
  </si>
  <si>
    <r>
      <t>g L</t>
    </r>
    <r>
      <rPr>
        <vertAlign val="superscript"/>
        <sz val="10"/>
        <color indexed="8"/>
        <rFont val="Verdana"/>
        <family val="2"/>
      </rPr>
      <t>-1</t>
    </r>
  </si>
  <si>
    <t>%</t>
  </si>
  <si>
    <t>g</t>
  </si>
  <si>
    <t>sek.
Seconds</t>
  </si>
  <si>
    <t>LLU MPS "Vecauce (Training and research farm “Vecauce” of the Latvia University of Agriculture)</t>
  </si>
  <si>
    <t xml:space="preserve">Remiko </t>
  </si>
  <si>
    <r>
      <t>Ziemas mieži  (</t>
    </r>
    <r>
      <rPr>
        <b/>
        <i/>
        <sz val="12"/>
        <color indexed="8"/>
        <rFont val="Verdana"/>
        <family val="2"/>
      </rPr>
      <t>Hordeum vulgare L.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</si>
  <si>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t>Raža
Yield</t>
  </si>
  <si>
    <t>Auga garums
Plant length</t>
  </si>
  <si>
    <t xml:space="preserve">Tilpummasa
Volume weight </t>
  </si>
  <si>
    <t xml:space="preserve">Cietes saturs
Starch content </t>
  </si>
  <si>
    <t xml:space="preserve"> balles
rating</t>
  </si>
  <si>
    <t>balles</t>
  </si>
  <si>
    <t>LLU MPS "Pēterlauki"</t>
  </si>
  <si>
    <t>Šķirnes</t>
  </si>
  <si>
    <t>Cietes saturs</t>
  </si>
  <si>
    <t>dienas</t>
  </si>
  <si>
    <r>
      <t>Ziemas rudzi  (</t>
    </r>
    <r>
      <rPr>
        <b/>
        <i/>
        <sz val="12"/>
        <color indexed="8"/>
        <rFont val="Verdana"/>
        <family val="2"/>
      </rPr>
      <t>Secale cereale L</t>
    </r>
    <r>
      <rPr>
        <b/>
        <sz val="12"/>
        <color indexed="8"/>
        <rFont val="Verdana"/>
        <family val="2"/>
      </rPr>
      <t>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</si>
  <si>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r>
      <t>Ziemas kvieši (</t>
    </r>
    <r>
      <rPr>
        <b/>
        <i/>
        <sz val="12"/>
        <color indexed="8"/>
        <rFont val="Verdana"/>
        <family val="2"/>
      </rPr>
      <t>Triticum aestivum L.</t>
    </r>
    <r>
      <rPr>
        <b/>
        <sz val="12"/>
        <color indexed="8"/>
        <rFont val="Verdana"/>
        <family val="2"/>
      </rPr>
      <t>)</t>
    </r>
  </si>
  <si>
    <t xml:space="preserve">Ziemcietība
Winterhardness
</t>
  </si>
  <si>
    <t>Lipekļa saturs
Gluten</t>
  </si>
  <si>
    <r>
      <t>Sedimentācija (</t>
    </r>
    <r>
      <rPr>
        <i/>
        <sz val="10"/>
        <color indexed="8"/>
        <rFont val="Verdana"/>
        <family val="2"/>
      </rPr>
      <t>Zeleny indekss)
Sedimentation (Zeleny index)</t>
    </r>
  </si>
  <si>
    <r>
      <t>cm</t>
    </r>
    <r>
      <rPr>
        <vertAlign val="superscript"/>
        <sz val="10"/>
        <color indexed="8"/>
        <rFont val="Verdana"/>
        <family val="2"/>
      </rPr>
      <t>3</t>
    </r>
  </si>
  <si>
    <r>
      <t xml:space="preserve">LLU Mācību pētījumu saimniecība "Pēterlauki", Jelgavas novads, </t>
    </r>
    <r>
      <rPr>
        <sz val="10"/>
        <color indexed="8"/>
        <rFont val="Verdana"/>
        <family val="2"/>
      </rPr>
      <t>LUA Research and Study Farm “Pēterlauki”, district of Jelgava</t>
    </r>
  </si>
  <si>
    <r>
      <t>Ziemas rapsis (</t>
    </r>
    <r>
      <rPr>
        <b/>
        <i/>
        <sz val="12"/>
        <color indexed="8"/>
        <rFont val="Verdana"/>
        <family val="2"/>
      </rPr>
      <t>Brassica napus L.)</t>
    </r>
  </si>
  <si>
    <t>Sēklu raža
Yield</t>
  </si>
  <si>
    <t>Eļļa sausnā
Oil in dry</t>
  </si>
  <si>
    <t>Eļļas raža sausnā
Oil yield in dry</t>
  </si>
  <si>
    <t>1000 sēklu masa
TKW</t>
  </si>
  <si>
    <r>
      <t>t ha</t>
    </r>
    <r>
      <rPr>
        <vertAlign val="superscript"/>
        <sz val="10"/>
        <color indexed="8"/>
        <rFont val="Verdana"/>
        <family val="2"/>
      </rPr>
      <t xml:space="preserve">-1 </t>
    </r>
  </si>
  <si>
    <t>EXCALIBUR</t>
  </si>
  <si>
    <t>DK SENSEI</t>
  </si>
  <si>
    <t>Veģetācijas perioda garums
Growing period</t>
  </si>
  <si>
    <r>
      <t>Sedimentācija (</t>
    </r>
    <r>
      <rPr>
        <i/>
        <sz val="10"/>
        <color indexed="8"/>
        <rFont val="Verdana"/>
        <family val="2"/>
      </rPr>
      <t>Zeleny indekss</t>
    </r>
    <r>
      <rPr>
        <sz val="10"/>
        <color indexed="8"/>
        <rFont val="Verdana"/>
        <family val="2"/>
      </rPr>
      <t>)
Sedimentation (Zeleny index)</t>
    </r>
  </si>
  <si>
    <t>sek.
Second</t>
  </si>
  <si>
    <r>
      <t>Vasaras kvieši (</t>
    </r>
    <r>
      <rPr>
        <b/>
        <i/>
        <sz val="12"/>
        <color indexed="8"/>
        <rFont val="Verdana"/>
        <family val="2"/>
      </rPr>
      <t>Triticum aestivum L.</t>
    </r>
    <r>
      <rPr>
        <b/>
        <sz val="12"/>
        <color indexed="8"/>
        <rFont val="Verdana"/>
        <family val="2"/>
      </rPr>
      <t>)</t>
    </r>
  </si>
  <si>
    <r>
      <t>Vasaras mieži  (</t>
    </r>
    <r>
      <rPr>
        <b/>
        <i/>
        <sz val="12"/>
        <color indexed="8"/>
        <rFont val="Verdana"/>
        <family val="2"/>
      </rPr>
      <t>Hordeum vulgare L.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</si>
  <si>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t>DK IMISTAR CL</t>
  </si>
  <si>
    <r>
      <t>kg L</t>
    </r>
    <r>
      <rPr>
        <vertAlign val="superscript"/>
        <sz val="10"/>
        <color indexed="8"/>
        <rFont val="Verdana"/>
        <family val="2"/>
      </rPr>
      <t>-1</t>
    </r>
  </si>
  <si>
    <t xml:space="preserve">ARABELLA </t>
  </si>
  <si>
    <t>KWS WILLOW</t>
  </si>
  <si>
    <t>LICAMERO</t>
  </si>
  <si>
    <t>HAMLET</t>
  </si>
  <si>
    <t>HARENDA</t>
  </si>
  <si>
    <t>MPS "Pēterlauki" izmēģinājumu vieta "Višķi" (Training farm "Pēterlauki" trial place "Viškī")</t>
  </si>
  <si>
    <t>vēla</t>
  </si>
  <si>
    <r>
      <t>Auzas (</t>
    </r>
    <r>
      <rPr>
        <b/>
        <i/>
        <sz val="12"/>
        <color indexed="8"/>
        <rFont val="Verdana"/>
        <family val="2"/>
      </rPr>
      <t>Avena sativa L.</t>
    </r>
    <r>
      <rPr>
        <b/>
        <sz val="12"/>
        <color indexed="8"/>
        <rFont val="Verdana"/>
        <family val="2"/>
      </rPr>
      <t>)</t>
    </r>
  </si>
  <si>
    <t>Plēkšņainība
Cotent of husk</t>
  </si>
  <si>
    <t>Tauku saturs
Fat</t>
  </si>
  <si>
    <r>
      <t>Vasaras rapsis (</t>
    </r>
    <r>
      <rPr>
        <b/>
        <i/>
        <sz val="12"/>
        <color indexed="8"/>
        <rFont val="Verdana"/>
        <family val="2"/>
      </rPr>
      <t>Brassica napus L.)</t>
    </r>
  </si>
  <si>
    <t xml:space="preserve">Sēklu raža
Yield </t>
  </si>
  <si>
    <t>Eļļa sausnā
Oil dry</t>
  </si>
  <si>
    <t xml:space="preserve"> t ha-1</t>
  </si>
  <si>
    <t xml:space="preserve">Proteīns
Protein  </t>
  </si>
  <si>
    <t>Veldre
Lodging</t>
  </si>
  <si>
    <t>Augu garums
Plant length</t>
  </si>
  <si>
    <t>Veģetācijas periods
Growing period</t>
  </si>
  <si>
    <t>t ha-1</t>
  </si>
  <si>
    <t>LAIMA</t>
  </si>
  <si>
    <t>Jerry</t>
  </si>
  <si>
    <t>Nr.p.k.</t>
  </si>
  <si>
    <r>
      <t>LLU Zemkopības zinātniskais institūts, Aizkraukles raj.</t>
    </r>
    <r>
      <rPr>
        <sz val="10"/>
        <color indexed="8"/>
        <rFont val="Verdana"/>
        <family val="2"/>
      </rPr>
      <t xml:space="preserve">  LUA  “Institute of Agriculture Reseach”, district of Aizkraukle</t>
    </r>
  </si>
  <si>
    <r>
      <t xml:space="preserve">LLU Mācību pētījumu saimniecība "Pēterlauki", Jelgavas novads, </t>
    </r>
    <r>
      <rPr>
        <b/>
        <sz val="10"/>
        <color indexed="8"/>
        <rFont val="Verdana"/>
        <family val="2"/>
      </rPr>
      <t>LUA Research and Study Farm “Pēterlauki”, district of Jelgava</t>
    </r>
  </si>
  <si>
    <r>
      <t>Kartupeļi (</t>
    </r>
    <r>
      <rPr>
        <i/>
        <sz val="10"/>
        <color indexed="8"/>
        <rFont val="Verdana"/>
        <family val="2"/>
      </rPr>
      <t xml:space="preserve">Solanum tuberosum L. )               </t>
    </r>
  </si>
  <si>
    <t>Bumbuļu infekcija ar</t>
  </si>
  <si>
    <t xml:space="preserve">Lakstu infekcija ar </t>
  </si>
  <si>
    <t xml:space="preserve">Veģetācijas periods, dienas </t>
  </si>
  <si>
    <t>Sausnas saturs, %</t>
  </si>
  <si>
    <t>Preču bumbuļu vidējā masa, g</t>
  </si>
  <si>
    <t>Garšas īpašības, balles</t>
  </si>
  <si>
    <t>Kopā balles</t>
  </si>
  <si>
    <t>lakstu puvi</t>
  </si>
  <si>
    <t>slapjo puvi</t>
  </si>
  <si>
    <t>sauso puvi</t>
  </si>
  <si>
    <t>lapu sausplankumainību</t>
  </si>
  <si>
    <t xml:space="preserve">balles </t>
  </si>
  <si>
    <t>Phytophtora infestans</t>
  </si>
  <si>
    <t>Pseudomonas fluorescens</t>
  </si>
  <si>
    <t>Fusarium solani</t>
  </si>
  <si>
    <t>Alternaria solani</t>
  </si>
  <si>
    <r>
      <t>Kopraža, t ha</t>
    </r>
    <r>
      <rPr>
        <vertAlign val="superscript"/>
        <sz val="10"/>
        <color indexed="8"/>
        <rFont val="Verdana"/>
        <family val="2"/>
      </rPr>
      <t>-1</t>
    </r>
  </si>
  <si>
    <t xml:space="preserve">Kopraža salīdzinājumā ar standartu  </t>
  </si>
  <si>
    <r>
      <t>Preču produkcija kopražā ,  t ha</t>
    </r>
    <r>
      <rPr>
        <vertAlign val="superscript"/>
        <sz val="10"/>
        <color indexed="8"/>
        <rFont val="Verdana"/>
        <family val="2"/>
      </rPr>
      <t>-1</t>
    </r>
    <r>
      <rPr>
        <sz val="10"/>
        <color indexed="8"/>
        <rFont val="Verdana"/>
        <family val="2"/>
      </rPr>
      <t xml:space="preserve"> </t>
    </r>
  </si>
  <si>
    <t xml:space="preserve">Preču produkcija kopraža  salīdzinājumā ar standartu  </t>
  </si>
  <si>
    <t>Izmēģinājumu agrotehnika</t>
  </si>
  <si>
    <t>Skrīveri</t>
  </si>
  <si>
    <t>Augsnes analīžu rezultāti</t>
  </si>
  <si>
    <t>Humusa saturs augsnē, %</t>
  </si>
  <si>
    <t>pH KCl</t>
  </si>
  <si>
    <r>
      <t>P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>O</t>
    </r>
    <r>
      <rPr>
        <vertAlign val="subscript"/>
        <sz val="9"/>
        <color indexed="8"/>
        <rFont val="Verdana"/>
        <family val="2"/>
      </rPr>
      <t>5</t>
    </r>
    <r>
      <rPr>
        <sz val="9"/>
        <color indexed="8"/>
        <rFont val="Verdana"/>
        <family val="2"/>
      </rPr>
      <t xml:space="preserve"> mg kg </t>
    </r>
    <r>
      <rPr>
        <vertAlign val="superscript"/>
        <sz val="9"/>
        <color indexed="8"/>
        <rFont val="Verdana"/>
        <family val="2"/>
      </rPr>
      <t>-1</t>
    </r>
  </si>
  <si>
    <r>
      <t>K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 xml:space="preserve">O mg kg </t>
    </r>
    <r>
      <rPr>
        <vertAlign val="superscript"/>
        <sz val="9"/>
        <color indexed="8"/>
        <rFont val="Verdana"/>
        <family val="2"/>
      </rPr>
      <t>-1</t>
    </r>
  </si>
  <si>
    <t>Sējas laiks</t>
  </si>
  <si>
    <t>Novākšanas datums</t>
  </si>
  <si>
    <t>Mēslojums deva, laiks</t>
  </si>
  <si>
    <t>N-P-K</t>
  </si>
  <si>
    <t>Augu aizsardzība</t>
  </si>
  <si>
    <t>Herbicīdi</t>
  </si>
  <si>
    <t>Insekticīdi</t>
  </si>
  <si>
    <t>Priekuļi</t>
  </si>
  <si>
    <t>Priekšaugs</t>
  </si>
  <si>
    <r>
      <t>Izstādīto bumbuļu skaits m</t>
    </r>
    <r>
      <rPr>
        <vertAlign val="superscript"/>
        <sz val="9"/>
        <color indexed="8"/>
        <rFont val="Verdana"/>
        <family val="2"/>
      </rPr>
      <t>2</t>
    </r>
  </si>
  <si>
    <t>5 bumbuļi m2, jeb 50000 augu uz ha</t>
  </si>
  <si>
    <t>Wizard 0.05 L ha-1</t>
  </si>
  <si>
    <t>Fungicīdi</t>
  </si>
  <si>
    <t>Lakstu iznīcināšana</t>
  </si>
  <si>
    <t>Augsnes tips</t>
  </si>
  <si>
    <t>60-55-90</t>
  </si>
  <si>
    <t>Ridomil Gold 2.5 kg ha-1</t>
  </si>
  <si>
    <t>Brasla</t>
  </si>
  <si>
    <t>Cietes raža,</t>
  </si>
  <si>
    <t xml:space="preserve"> t ha -1</t>
  </si>
  <si>
    <t>Cietes raža salīdzinājumā ar standartu</t>
  </si>
  <si>
    <t>Auga garums</t>
  </si>
  <si>
    <t>Veģetācijas periods</t>
  </si>
  <si>
    <t>Pēterlauki</t>
  </si>
  <si>
    <t>Višķi</t>
  </si>
  <si>
    <t>Augsnes mehāniskais sastāvs</t>
  </si>
  <si>
    <t>500 d.s. m2</t>
  </si>
  <si>
    <t>N</t>
  </si>
  <si>
    <t>Vecauce</t>
  </si>
  <si>
    <r>
      <t>Izsēto sēklu skaits m</t>
    </r>
    <r>
      <rPr>
        <vertAlign val="superscript"/>
        <sz val="9"/>
        <color indexed="8"/>
        <rFont val="Verdana"/>
        <family val="2"/>
      </rPr>
      <t>2</t>
    </r>
  </si>
  <si>
    <r>
      <t>500 d.s. m</t>
    </r>
    <r>
      <rPr>
        <vertAlign val="superscript"/>
        <sz val="9"/>
        <color indexed="8"/>
        <rFont val="Verdana"/>
        <family val="2"/>
      </rPr>
      <t>2</t>
    </r>
  </si>
  <si>
    <t>Veģetācijas perioda beigas rudenī</t>
  </si>
  <si>
    <t>Veģetācijas atjaunošanās pavasarī</t>
  </si>
  <si>
    <t>Ārpussakņu mēslošanas līdzekļi</t>
  </si>
  <si>
    <t>Stende</t>
  </si>
  <si>
    <r>
      <t>Biathlon 4D 70g ha</t>
    </r>
    <r>
      <rPr>
        <vertAlign val="superscript"/>
        <sz val="9"/>
        <color indexed="8"/>
        <rFont val="Verdana"/>
        <family val="2"/>
      </rPr>
      <t xml:space="preserve"> -1</t>
    </r>
  </si>
  <si>
    <t>Augšanas regulators</t>
  </si>
  <si>
    <t>Fungicīds</t>
  </si>
  <si>
    <r>
      <t>550 d.s. m</t>
    </r>
    <r>
      <rPr>
        <vertAlign val="superscript"/>
        <sz val="9"/>
        <color indexed="8"/>
        <rFont val="Verdana"/>
        <family val="2"/>
      </rPr>
      <t>2</t>
    </r>
  </si>
  <si>
    <r>
      <t>450 d.s. m</t>
    </r>
    <r>
      <rPr>
        <vertAlign val="superscript"/>
        <sz val="9"/>
        <color indexed="8"/>
        <rFont val="Verdana"/>
        <family val="2"/>
      </rPr>
      <t>2</t>
    </r>
  </si>
  <si>
    <t>Augu augšanas regulatori</t>
  </si>
  <si>
    <t>Ārpus sakņu mēslošanas līdzekļi</t>
  </si>
  <si>
    <r>
      <t>500 d.s. m</t>
    </r>
    <r>
      <rPr>
        <vertAlign val="superscript"/>
        <sz val="9"/>
        <color theme="1"/>
        <rFont val="Verdana"/>
        <family val="2"/>
      </rPr>
      <t>2</t>
    </r>
  </si>
  <si>
    <t>Cycocel 1 L ha-1</t>
  </si>
  <si>
    <t>24-60-90</t>
  </si>
  <si>
    <t>Augsne</t>
  </si>
  <si>
    <t>Augu augšanas regulātors</t>
  </si>
  <si>
    <t>Karate Zeon 0.15 L ha-1</t>
  </si>
  <si>
    <t>Plenum 0.15 kg ha-1</t>
  </si>
  <si>
    <t>Dash 0.5 L ha-1</t>
  </si>
  <si>
    <t>Vk, sM</t>
  </si>
  <si>
    <t>Vasaras mieži</t>
  </si>
  <si>
    <r>
      <t>Butisan Star 2.0 L ha</t>
    </r>
    <r>
      <rPr>
        <vertAlign val="superscript"/>
        <sz val="9"/>
        <color indexed="8"/>
        <rFont val="Verdana"/>
        <family val="2"/>
      </rPr>
      <t>-1</t>
    </r>
  </si>
  <si>
    <t>Fastac 50 0.25 L ha-1</t>
  </si>
  <si>
    <t>Clamox 2.0 L ha-1</t>
  </si>
  <si>
    <t>Biscaya 0.3 L ha-1</t>
  </si>
  <si>
    <t>Dash 1.0 L ha-1</t>
  </si>
  <si>
    <t>Biathlon 4D 0.06 kg ha-1</t>
  </si>
  <si>
    <t>Viverda 1.25 L ha-1</t>
  </si>
  <si>
    <t>Augu augšanas regulators</t>
  </si>
  <si>
    <t>Inekticīds</t>
  </si>
  <si>
    <t>Yara Vita Gramitrel 1.5 L ha-1</t>
  </si>
  <si>
    <t>Papuve</t>
  </si>
  <si>
    <r>
      <t>375 d.s. m</t>
    </r>
    <r>
      <rPr>
        <vertAlign val="superscript"/>
        <sz val="9"/>
        <color indexed="8"/>
        <rFont val="Verdana"/>
        <family val="2"/>
      </rPr>
      <t>2</t>
    </r>
  </si>
  <si>
    <t>Boxer 1.0 L ha-1</t>
  </si>
  <si>
    <t>āboliņš</t>
  </si>
  <si>
    <t>Cycocel 750 1.0 L ha-1</t>
  </si>
  <si>
    <t>YaraVita Gramitrel 2.0 L ha-1</t>
  </si>
  <si>
    <t>Cycocel 1.0 L ha-1</t>
  </si>
  <si>
    <t>Nogatavošanās datums</t>
  </si>
  <si>
    <t>05.08.</t>
  </si>
  <si>
    <t>03.08.</t>
  </si>
  <si>
    <t>07.08.</t>
  </si>
  <si>
    <t>06.08.</t>
  </si>
  <si>
    <t>10.08.</t>
  </si>
  <si>
    <t>08.08.</t>
  </si>
  <si>
    <t>Insekticīds</t>
  </si>
  <si>
    <t>K, sM</t>
  </si>
  <si>
    <t>Vk, sMp</t>
  </si>
  <si>
    <t>Zoom 1.5 L ha-1</t>
  </si>
  <si>
    <t>3EW0099 (INV1044)</t>
  </si>
  <si>
    <t>H 9130720</t>
  </si>
  <si>
    <t>H 9131246</t>
  </si>
  <si>
    <t>DK EXTRACT</t>
  </si>
  <si>
    <t>DK EXPIRIO</t>
  </si>
  <si>
    <t>DK SECRET</t>
  </si>
  <si>
    <t>Puspunduri</t>
  </si>
  <si>
    <t>206 - 232</t>
  </si>
  <si>
    <t>H9169003 CL</t>
  </si>
  <si>
    <t>1.8 - 2.0</t>
  </si>
  <si>
    <t>Augu Bors 150 1.5 L ha-1</t>
  </si>
  <si>
    <t>Desikants</t>
  </si>
  <si>
    <t>SKAGEN</t>
  </si>
  <si>
    <t>SW MAGNIFIK</t>
  </si>
  <si>
    <t>FREDIS</t>
  </si>
  <si>
    <t>EDVĪNS</t>
  </si>
  <si>
    <t>NOS 709 - 1494</t>
  </si>
  <si>
    <t>ROTAX</t>
  </si>
  <si>
    <t>JULIUS</t>
  </si>
  <si>
    <t>Ruja</t>
  </si>
  <si>
    <t>Remiko</t>
  </si>
  <si>
    <t>Ansis</t>
  </si>
  <si>
    <t>Austris</t>
  </si>
  <si>
    <t>Laureate</t>
  </si>
  <si>
    <t>Iron</t>
  </si>
  <si>
    <t>NOS 110.352-51</t>
  </si>
  <si>
    <t>Katniss</t>
  </si>
  <si>
    <t>NORD 15/325</t>
  </si>
  <si>
    <t>SRH6140521</t>
  </si>
  <si>
    <t>SRH6140565</t>
  </si>
  <si>
    <t>SRH6140605</t>
  </si>
  <si>
    <t>7EN0016</t>
  </si>
  <si>
    <t>7EN0017</t>
  </si>
  <si>
    <t>7EN0018</t>
  </si>
  <si>
    <t>INV 110 CL</t>
  </si>
  <si>
    <t>7EN0014 CL</t>
  </si>
  <si>
    <t>7EN0015 CL</t>
  </si>
  <si>
    <t>Ziemas rapsis</t>
  </si>
  <si>
    <t>30.05.2017.</t>
  </si>
  <si>
    <t>Adexar 1.0 L ha-1</t>
  </si>
  <si>
    <t>02.05.2017.</t>
  </si>
  <si>
    <t>Avaunt 0.17 L ha-1</t>
  </si>
  <si>
    <t>Ziemas kvieši</t>
  </si>
  <si>
    <t>N-P-K-S</t>
  </si>
  <si>
    <t>05.05.2017.</t>
  </si>
  <si>
    <t>19.05.2017.</t>
  </si>
  <si>
    <t>18.08.2017.</t>
  </si>
  <si>
    <t>N 30 (AN)</t>
  </si>
  <si>
    <t>Grodyl 20 g ha-1</t>
  </si>
  <si>
    <t>papuve</t>
  </si>
  <si>
    <r>
      <t>500 d.s.m</t>
    </r>
    <r>
      <rPr>
        <vertAlign val="superscript"/>
        <sz val="9"/>
        <rFont val="Verdana"/>
        <family val="2"/>
      </rPr>
      <t>2</t>
    </r>
  </si>
  <si>
    <t>15.08.2017.</t>
  </si>
  <si>
    <r>
      <t>Hibrīdiem 60 d.s.m</t>
    </r>
    <r>
      <rPr>
        <vertAlign val="superscript"/>
        <sz val="9"/>
        <rFont val="Verdana"/>
        <family val="2"/>
      </rPr>
      <t>2</t>
    </r>
  </si>
  <si>
    <t xml:space="preserve">Augsnes kaļķošana </t>
  </si>
  <si>
    <t>Dārza kaļķis 1.5 t ha-1</t>
  </si>
  <si>
    <t>16.08.2017.</t>
  </si>
  <si>
    <t>N+S</t>
  </si>
  <si>
    <t>VP, mS</t>
  </si>
  <si>
    <t xml:space="preserve">Augsne </t>
  </si>
  <si>
    <t xml:space="preserve">Āboliņš </t>
  </si>
  <si>
    <t>20.06.2017.</t>
  </si>
  <si>
    <r>
      <t>500 d.s. m</t>
    </r>
    <r>
      <rPr>
        <vertAlign val="superscript"/>
        <sz val="9"/>
        <rFont val="Verdana"/>
        <family val="2"/>
      </rPr>
      <t>2</t>
    </r>
  </si>
  <si>
    <t>14.08.2017.</t>
  </si>
  <si>
    <t>30.08.2017.</t>
  </si>
  <si>
    <t>Velēnu vāji podzolēta, sM</t>
  </si>
  <si>
    <t xml:space="preserve">Ziemas kvieši </t>
  </si>
  <si>
    <t>Nimbus Gold 2.0 L ha-1</t>
  </si>
  <si>
    <r>
      <t>Fastac 0.2 L ha</t>
    </r>
    <r>
      <rPr>
        <vertAlign val="superscript"/>
        <sz val="9"/>
        <rFont val="Verdana"/>
        <family val="2"/>
      </rPr>
      <t>-1</t>
    </r>
  </si>
  <si>
    <t>Yara Brasitrel 1.0 L ha -1</t>
  </si>
  <si>
    <t>Yara Vita Gramitrel 1.0 L ha-1</t>
  </si>
  <si>
    <t>Hussar Activ Plus 1 L ha-1</t>
  </si>
  <si>
    <t>2.1-2.9</t>
  </si>
  <si>
    <t>6.1-6.7</t>
  </si>
  <si>
    <t>66-203</t>
  </si>
  <si>
    <t>118-228</t>
  </si>
  <si>
    <r>
      <t>375 d.s.m</t>
    </r>
    <r>
      <rPr>
        <vertAlign val="superscript"/>
        <sz val="9"/>
        <rFont val="Verdana"/>
        <family val="2"/>
      </rPr>
      <t>2</t>
    </r>
  </si>
  <si>
    <t>Flight Forte 1.0 L ha-1</t>
  </si>
  <si>
    <t>Moddus start 0.5 L ha-1</t>
  </si>
  <si>
    <t>N 85 (AN)</t>
  </si>
  <si>
    <t>Velēnu podzolēta, mS</t>
  </si>
  <si>
    <t>03.05.2017.</t>
  </si>
  <si>
    <r>
      <t>600 d.s. m</t>
    </r>
    <r>
      <rPr>
        <vertAlign val="superscript"/>
        <sz val="9"/>
        <rFont val="Verdana"/>
        <family val="2"/>
      </rPr>
      <t>2</t>
    </r>
  </si>
  <si>
    <t>24-57-87</t>
  </si>
  <si>
    <t>N 60 (AN)</t>
  </si>
  <si>
    <t>Allegro Super 0.75 L ha-1</t>
  </si>
  <si>
    <t>07.04.2017.</t>
  </si>
  <si>
    <t>Augsnes kaļķošana</t>
  </si>
  <si>
    <t>Fenix  3 L ha-1</t>
  </si>
  <si>
    <t>Basagran 480 3.0 l ha-1</t>
  </si>
  <si>
    <t>600 kg ha-1</t>
  </si>
  <si>
    <t>Titus 0.05 kg ha-1</t>
  </si>
  <si>
    <t>Contact 0.1 L /100 l</t>
  </si>
  <si>
    <t>NPK 12-11-18 500 kg ha-1</t>
  </si>
  <si>
    <t>Jelly</t>
  </si>
  <si>
    <r>
      <t xml:space="preserve">Vidēji vēlīnās šķirnes </t>
    </r>
    <r>
      <rPr>
        <sz val="10"/>
        <color indexed="8"/>
        <rFont val="Verdana"/>
        <family val="2"/>
      </rPr>
      <t xml:space="preserve">     </t>
    </r>
  </si>
  <si>
    <t>Izmēģinājums 2017</t>
  </si>
  <si>
    <t>Cycocel 1.5 L ha-11</t>
  </si>
  <si>
    <t>Flight Forte 2.5 L ha-1</t>
  </si>
  <si>
    <t>Biathlon 4 D 60 g ha-1</t>
  </si>
  <si>
    <t>AREI Stendes pētniecības centrs (Institute of Agricultural resources and Ecomomics, Stende Research Center)</t>
  </si>
  <si>
    <t>AREI Priekuļu pētniecības centrs (Institute of Agricultural resources and Ecomomics, Priekuli Research Center)</t>
  </si>
  <si>
    <t>LLU MPS "Pēterlauki" (LUA Research and Study Farm “Pēterlauki”, district of Jelgava)</t>
  </si>
  <si>
    <t>Vidēji (Average)</t>
  </si>
  <si>
    <t>AREI Stendes pētniecības centrs  (Institute of Agricultural resources and Ecomomics, Stende Research Center)</t>
  </si>
  <si>
    <t>LLU Zemkopības institūts Skrīveri (LUA  “Institute of Agriculture Reseach”, district of Aizkraukle)</t>
  </si>
  <si>
    <t>Maturity date</t>
  </si>
  <si>
    <t>Harvest date</t>
  </si>
  <si>
    <t>Ziemcietības novērtējums Winterhardness rating Pavasarī izdzīvojušo augu skaits % salīdzinājumā ar rudens augu skaitu Number of surviving plants in spring compared to the number of autumn plants</t>
  </si>
  <si>
    <t>Harvesting date</t>
  </si>
  <si>
    <t>Vidēji standartiem</t>
  </si>
  <si>
    <t>Vidēji standartam</t>
  </si>
  <si>
    <t>Saimniecisko īpašību novērtēšanas rezultāti ziemas miežiem 2018.gadā</t>
  </si>
  <si>
    <t>VCU trial results for winter barley in 2018</t>
  </si>
  <si>
    <t>KEEPER</t>
  </si>
  <si>
    <t>KW 6-331 (KWS HIGGINS)</t>
  </si>
  <si>
    <t>KWS ORBIT</t>
  </si>
  <si>
    <t>Izmēģinājums 2017/2018</t>
  </si>
  <si>
    <t>Vk, psM</t>
  </si>
  <si>
    <t>28.09.2017</t>
  </si>
  <si>
    <t>24.11.2017</t>
  </si>
  <si>
    <t>01.04.2018.</t>
  </si>
  <si>
    <t>12.07.2018.</t>
  </si>
  <si>
    <t>27.09.2017</t>
  </si>
  <si>
    <t>18-52-52</t>
  </si>
  <si>
    <t>05.05.2018.</t>
  </si>
  <si>
    <t>01.06.2018.</t>
  </si>
  <si>
    <t>Viverda 1.5 L ha-1</t>
  </si>
  <si>
    <t>Yara Vita Thiotrac 2 L ha-1</t>
  </si>
  <si>
    <t>Yara Vita Gramitrel 2 L ha-1</t>
  </si>
  <si>
    <t>Pv1, sM</t>
  </si>
  <si>
    <t>25.09.2018.</t>
  </si>
  <si>
    <t>11.11.2017.</t>
  </si>
  <si>
    <t>12.04.2018.</t>
  </si>
  <si>
    <t>18.07.2018.</t>
  </si>
  <si>
    <t>25.09.2017.</t>
  </si>
  <si>
    <t>Saimniecisko īpašību novērtēšanas rezultāti ziemas rudziem 2018.gadā</t>
  </si>
  <si>
    <t>VCU trial results for winter rye in 2018</t>
  </si>
  <si>
    <t>KWS MAGNIFICO</t>
  </si>
  <si>
    <t>SU BENDIX</t>
  </si>
  <si>
    <t>SU NASRI</t>
  </si>
  <si>
    <t>SU PROMOTOR</t>
  </si>
  <si>
    <t>SU PERFORMER</t>
  </si>
  <si>
    <t>SU BONELLI</t>
  </si>
  <si>
    <t>KWS BONO</t>
  </si>
  <si>
    <t>25.07.</t>
  </si>
  <si>
    <t>27.07.</t>
  </si>
  <si>
    <r>
      <t>200 d.s. m</t>
    </r>
    <r>
      <rPr>
        <vertAlign val="superscript"/>
        <sz val="9"/>
        <rFont val="Verdana"/>
        <family val="2"/>
      </rPr>
      <t>2</t>
    </r>
  </si>
  <si>
    <t>27.07.2018.</t>
  </si>
  <si>
    <t>20.07.</t>
  </si>
  <si>
    <t>21.07.</t>
  </si>
  <si>
    <t>23.07.</t>
  </si>
  <si>
    <t>22.07.</t>
  </si>
  <si>
    <t>31.07.</t>
  </si>
  <si>
    <t>30.07.</t>
  </si>
  <si>
    <r>
      <t>200 d.s. m</t>
    </r>
    <r>
      <rPr>
        <vertAlign val="superscript"/>
        <sz val="9"/>
        <color theme="1"/>
        <rFont val="Verdana"/>
        <family val="2"/>
      </rPr>
      <t>2</t>
    </r>
  </si>
  <si>
    <t>09.10.2017.</t>
  </si>
  <si>
    <t>31.07.2018.</t>
  </si>
  <si>
    <t>08.10.2017.</t>
  </si>
  <si>
    <t>MCPA 750 1.5 L ha-1</t>
  </si>
  <si>
    <t>Prosaro 1.0 L ha-1</t>
  </si>
  <si>
    <t>08.05.2018. AS 31</t>
  </si>
  <si>
    <t>15.05.2018. AS 33</t>
  </si>
  <si>
    <t>22.05.2018. AS 50</t>
  </si>
  <si>
    <t>Velēnu glejota, sM</t>
  </si>
  <si>
    <t>08.11.2017.</t>
  </si>
  <si>
    <t>03.04.2018.</t>
  </si>
  <si>
    <t>24.09.2017.</t>
  </si>
  <si>
    <t>20-50-75</t>
  </si>
  <si>
    <t>N 120</t>
  </si>
  <si>
    <t>Saimniecisko īpašību novērtēšanas rezultāti ziemas kviešiem 2018.gadā</t>
  </si>
  <si>
    <t>VCU trial results for winter wheat in 2018</t>
  </si>
  <si>
    <t>06.06.2018.</t>
  </si>
  <si>
    <t>Tango Super 0.75 L ha-1</t>
  </si>
  <si>
    <t>06.05.2018.</t>
  </si>
  <si>
    <t>Modus Start 0.5 L ha -1</t>
  </si>
  <si>
    <t>Hussar Activ OD 1 L ha-1</t>
  </si>
  <si>
    <t>KWS SPENCER</t>
  </si>
  <si>
    <t xml:space="preserve">KWS MALIBU </t>
  </si>
  <si>
    <t>KWS EMIL</t>
  </si>
  <si>
    <t>94-5-N</t>
  </si>
  <si>
    <t>18.07.</t>
  </si>
  <si>
    <t>14.07.</t>
  </si>
  <si>
    <t>15.07.</t>
  </si>
  <si>
    <t>16.07.</t>
  </si>
  <si>
    <t>Velēnu karbonātu, psM</t>
  </si>
  <si>
    <t>28.09.2017.</t>
  </si>
  <si>
    <t>24.11.2017.</t>
  </si>
  <si>
    <t>23.07.2018.</t>
  </si>
  <si>
    <t>27.09.2017.</t>
  </si>
  <si>
    <t>Biathlon 4D 0.07 kg ha-1</t>
  </si>
  <si>
    <t>23.05.2018.</t>
  </si>
  <si>
    <t>Medax Max 0.5 L ha-1</t>
  </si>
  <si>
    <t>13.06.2018.</t>
  </si>
  <si>
    <t>Priaxor 0.83 L ha-1</t>
  </si>
  <si>
    <t>YaraVita Thiotrac 2.0 L ha-1</t>
  </si>
  <si>
    <t>02.08.</t>
  </si>
  <si>
    <t>17.07.</t>
  </si>
  <si>
    <t>06.08.2018.</t>
  </si>
  <si>
    <t>13.04.2018.</t>
  </si>
  <si>
    <t>15.05.2018.</t>
  </si>
  <si>
    <t>N 60; S 20</t>
  </si>
  <si>
    <t>11.06.2018.</t>
  </si>
  <si>
    <t>N 40 (AN)</t>
  </si>
  <si>
    <t>08.05.2018.</t>
  </si>
  <si>
    <t>Granstar 0.02 kg ha-1</t>
  </si>
  <si>
    <t>21.05.2018.</t>
  </si>
  <si>
    <t>19.07.</t>
  </si>
  <si>
    <t>07.04.2018.</t>
  </si>
  <si>
    <t>N156</t>
  </si>
  <si>
    <t>Saimniecisko īpašību novērtēšanas rezultāti ziemas kviešiem bioloģiskajā audzēšanas sistēmā 2018.gadā</t>
  </si>
  <si>
    <t>VCU trial results for winter wheat in Biological growing system in 2018</t>
  </si>
  <si>
    <t>mS</t>
  </si>
  <si>
    <t>02.10.2017.</t>
  </si>
  <si>
    <t>Mieži</t>
  </si>
  <si>
    <t>26.09.2017.</t>
  </si>
  <si>
    <t>Saimniecisko īpašību novērtēšanas rezultāti ziemas rapša hibrīdiem 2018.gadā</t>
  </si>
  <si>
    <t>VCU trial results for WOSR in 2018</t>
  </si>
  <si>
    <t>WPB 13SD930-13</t>
  </si>
  <si>
    <t>CORNETTO</t>
  </si>
  <si>
    <t>CALIXO</t>
  </si>
  <si>
    <t>FLORENS (SEC 503-08-3)</t>
  </si>
  <si>
    <t>Saimniecisko īpašību novērtēšanas rezultāti vasaras kviešiem 2018.gadā</t>
  </si>
  <si>
    <t>VCU trial results for spring wheat in 2018</t>
  </si>
  <si>
    <t>29.07.</t>
  </si>
  <si>
    <t>23.04.2018.</t>
  </si>
  <si>
    <t>07.09.2018.</t>
  </si>
  <si>
    <t>22.04.2018.</t>
  </si>
  <si>
    <t>18-57-105</t>
  </si>
  <si>
    <t>N 145.4</t>
  </si>
  <si>
    <t>28.05.2018.</t>
  </si>
  <si>
    <t>19.06.2018.</t>
  </si>
  <si>
    <t>Ceriax 1.5 L ha-1</t>
  </si>
  <si>
    <t>Fastac 50 0.3 L ha-1</t>
  </si>
  <si>
    <t>Epso Micro Top 5 kg ha-1</t>
  </si>
  <si>
    <t>viengadīgā airene</t>
  </si>
  <si>
    <t>25.04.2018.</t>
  </si>
  <si>
    <t>10.08.2018.</t>
  </si>
  <si>
    <t>24.04.2018.</t>
  </si>
  <si>
    <t>80-80-80</t>
  </si>
  <si>
    <t>Grodyl 0.02 kg ha-1</t>
  </si>
  <si>
    <t>31.05.2018.</t>
  </si>
  <si>
    <t>MCPA 750 1.3 L ha-1</t>
  </si>
  <si>
    <t>15.06.2018.</t>
  </si>
  <si>
    <t>Allegro Super 1 L ha-1</t>
  </si>
  <si>
    <t>Zoom 2.5 L ha-1</t>
  </si>
  <si>
    <t>19.04.2018.</t>
  </si>
  <si>
    <t>18.04.2018.</t>
  </si>
  <si>
    <t>40-40-40</t>
  </si>
  <si>
    <t>N119 (AN)</t>
  </si>
  <si>
    <t>20.05.2018.</t>
  </si>
  <si>
    <t>14.06.2018.</t>
  </si>
  <si>
    <t>Tango Super 1 L ha-1</t>
  </si>
  <si>
    <t>27.06.2018.</t>
  </si>
  <si>
    <t>Profi Basis Plus 2 L ha-1</t>
  </si>
  <si>
    <t>Saimniecisko īpašību novērtēšanas rezultāti vasarras miežiem 2018.gadā</t>
  </si>
  <si>
    <t>VCU trial results for spring barley in 2018</t>
  </si>
  <si>
    <t>SY 415586 (SY Kailash)</t>
  </si>
  <si>
    <t>SY 416789</t>
  </si>
  <si>
    <t>Ellinor</t>
  </si>
  <si>
    <t>STRG 689/12A</t>
  </si>
  <si>
    <t>WPB 11DH512-11</t>
  </si>
  <si>
    <t>NOS 111.317-63</t>
  </si>
  <si>
    <t>NOS 111.336-62</t>
  </si>
  <si>
    <t>Izmēģinājums 2018</t>
  </si>
  <si>
    <t>08.0.2018.</t>
  </si>
  <si>
    <t>45-45-45</t>
  </si>
  <si>
    <t>68 (N)</t>
  </si>
  <si>
    <t>25.05.2018.</t>
  </si>
  <si>
    <t>Yara Vita Bortrac 1 L ha-1</t>
  </si>
  <si>
    <t>04.08.2018.</t>
  </si>
  <si>
    <t>N 68 (AN)</t>
  </si>
  <si>
    <t>Cerone 0.5 L ha-1</t>
  </si>
  <si>
    <t>Profi Basic Plus 2 L ha-1</t>
  </si>
  <si>
    <t>Saimniecisko īpašību novērtēšanas rezultāti auzām 2018.gadā</t>
  </si>
  <si>
    <t>VCU trial results for oats in 2018</t>
  </si>
  <si>
    <t>ST32553</t>
  </si>
  <si>
    <t>Symphony</t>
  </si>
  <si>
    <t>Caddy</t>
  </si>
  <si>
    <t>09.08.2018.</t>
  </si>
  <si>
    <t>52.5-52.5-52.5</t>
  </si>
  <si>
    <t>Herkuless Baltic</t>
  </si>
  <si>
    <t>13.08.2018</t>
  </si>
  <si>
    <t>VISBY</t>
  </si>
  <si>
    <t>H9151280</t>
  </si>
  <si>
    <t>INV 1165</t>
  </si>
  <si>
    <t>KWS ALVARO</t>
  </si>
  <si>
    <t>KWS UMBERTO</t>
  </si>
  <si>
    <t>KWS CRISTIANO</t>
  </si>
  <si>
    <t>KWS GORDON</t>
  </si>
  <si>
    <t>DK EXPANSION</t>
  </si>
  <si>
    <t>DK EXTIME</t>
  </si>
  <si>
    <t>DK EXPRESSION</t>
  </si>
  <si>
    <t>DK EXTERRIER</t>
  </si>
  <si>
    <t>DK SEQUEL</t>
  </si>
  <si>
    <t>DK SECTOR</t>
  </si>
  <si>
    <t>KWS ALLBERICH</t>
  </si>
  <si>
    <t>Tā kā visām miežu šķirnēm 2018. gadā ir salīdzinoši augsts proteīna saturs, tad atsevišķi iesala šķirnes netiek vērtētas, jo 2018. gada iesalam piemērotu miežu kritērijs - proteīna saturs, nedrīksts pārsniegt 12%.</t>
  </si>
  <si>
    <t>Saimniecisko īpašību novērtēšanas rezultāti ziemas rapša CL hibrīdiem 2018.gadā</t>
  </si>
  <si>
    <t>VCU trial results for WOSR CL in 2018</t>
  </si>
  <si>
    <t>DK IMPLEMENT CL</t>
  </si>
  <si>
    <t>DK IMPRESSARIO CL</t>
  </si>
  <si>
    <t>4EW0100 CL (InV1166 CL</t>
  </si>
  <si>
    <t>Velēnu karbonātu, sM p</t>
  </si>
  <si>
    <r>
      <t>Hibrīdiem 60 d.s. m</t>
    </r>
    <r>
      <rPr>
        <vertAlign val="superscript"/>
        <sz val="9"/>
        <color indexed="8"/>
        <rFont val="Verdana"/>
        <family val="2"/>
      </rPr>
      <t>2</t>
    </r>
  </si>
  <si>
    <t>19.08.2017.</t>
  </si>
  <si>
    <t>19.07.2018.</t>
  </si>
  <si>
    <t>30-78-78</t>
  </si>
  <si>
    <t>68.8 (N)</t>
  </si>
  <si>
    <t>19.10.2017.</t>
  </si>
  <si>
    <t>Caryx 0.6 L ha-1</t>
  </si>
  <si>
    <t>Brassitrel Pro 1.0 L ha -1</t>
  </si>
  <si>
    <t>Profi Bors 2.0 L ha-1</t>
  </si>
  <si>
    <t>Pv1, sM - mS</t>
  </si>
  <si>
    <t xml:space="preserve">5.8 - 6.3 </t>
  </si>
  <si>
    <t>159-177</t>
  </si>
  <si>
    <t>Papuve - griķi</t>
  </si>
  <si>
    <t>26.07.2018.</t>
  </si>
  <si>
    <t>28-70-105</t>
  </si>
  <si>
    <t>N 75 (NS) S 17.5</t>
  </si>
  <si>
    <t>26.04.2018.</t>
  </si>
  <si>
    <t>N 75 (NS) S 17.6</t>
  </si>
  <si>
    <t>Toprex 0.3 L ha-1</t>
  </si>
  <si>
    <t>28.04.2018.</t>
  </si>
  <si>
    <t>Toprex 0.35 L ha-1</t>
  </si>
  <si>
    <t>16.05.2018.</t>
  </si>
  <si>
    <t>Propulse 0.9 L ha-1</t>
  </si>
  <si>
    <t>Karate Zeon 0.1 L ha-1</t>
  </si>
  <si>
    <t>07.05.2018.</t>
  </si>
  <si>
    <t>Plenum 50 WG 0.15 kg ha-1</t>
  </si>
  <si>
    <t>Brasitrel Pro 3.0 L ha-1</t>
  </si>
  <si>
    <t>Tivos 5.0 L ha-1</t>
  </si>
  <si>
    <t>17.07.2018.</t>
  </si>
  <si>
    <r>
      <t>Reglon Super 2.7 L ha</t>
    </r>
    <r>
      <rPr>
        <vertAlign val="superscript"/>
        <sz val="9"/>
        <rFont val="Verdana"/>
        <family val="2"/>
      </rPr>
      <t>-1</t>
    </r>
  </si>
  <si>
    <t>Saimniecisko īpašību novērtēšanas rezultāti vasaras rapša hibrīdiem 2018.gadā</t>
  </si>
  <si>
    <t>VCU trial results for spring oil seed rape in 2018</t>
  </si>
  <si>
    <t>Saimniecisko īpašību novērtēšanas rezultāti tritikālei 2018.gadā</t>
  </si>
  <si>
    <t>VCU trial results for winter triticale in 2018</t>
  </si>
  <si>
    <t>22.10.2017.</t>
  </si>
  <si>
    <t>04.04.2018.</t>
  </si>
  <si>
    <t>N 140 (AN)</t>
  </si>
  <si>
    <t>N 156</t>
  </si>
  <si>
    <t>20.10.2017.</t>
  </si>
  <si>
    <t>08.04.2018.</t>
  </si>
  <si>
    <t>146 (AN)</t>
  </si>
  <si>
    <t>Modus Start 0.5 L ha-1</t>
  </si>
  <si>
    <t>22.05.2018.</t>
  </si>
  <si>
    <t>SRH6140555</t>
  </si>
  <si>
    <t>SRH6150396</t>
  </si>
  <si>
    <t>SRH6150431</t>
  </si>
  <si>
    <t>SRH6150494</t>
  </si>
  <si>
    <t>8EN0019</t>
  </si>
  <si>
    <t>8EN0020</t>
  </si>
  <si>
    <t>8EN0021</t>
  </si>
  <si>
    <t>DLE18813S11</t>
  </si>
  <si>
    <t>DLE18814S11</t>
  </si>
  <si>
    <t>KWS Jecando (SRH6130509)</t>
  </si>
  <si>
    <t>KWS Jacardo (SRH6120120)</t>
  </si>
  <si>
    <t>KWS Janek (SRH6120072)</t>
  </si>
  <si>
    <t>Vk, sM p</t>
  </si>
  <si>
    <r>
      <rPr>
        <sz val="9"/>
        <color indexed="8"/>
        <rFont val="Verdana"/>
        <family val="2"/>
      </rPr>
      <t>Hibrīdiem 80 d.s. m</t>
    </r>
    <r>
      <rPr>
        <vertAlign val="superscript"/>
        <sz val="9"/>
        <color indexed="8"/>
        <rFont val="Verdana"/>
        <family val="2"/>
      </rPr>
      <t>2</t>
    </r>
  </si>
  <si>
    <t>24.08.2018.</t>
  </si>
  <si>
    <t>48-48-48</t>
  </si>
  <si>
    <t>09.06.2018.</t>
  </si>
  <si>
    <t>Proteus 0.3 L ha-1</t>
  </si>
  <si>
    <t>Targa Super 1.0 L ha-1</t>
  </si>
  <si>
    <t>Lontrel 0.15 L ha-1</t>
  </si>
  <si>
    <t>Yara Brasitrel Pro 1.0 L ha -1</t>
  </si>
  <si>
    <t>Profi Bors 1.0 L ha-1</t>
  </si>
  <si>
    <t>Profi Boron 1.0 L ha-1</t>
  </si>
  <si>
    <t>Thiotrac 1.5 L ha-1</t>
  </si>
  <si>
    <t>Hiphos 1.5 L ha-1</t>
  </si>
  <si>
    <t>Thiotrac 1.0 L ha-1</t>
  </si>
  <si>
    <t>04.05.2018.</t>
  </si>
  <si>
    <t>28.08.2018.</t>
  </si>
  <si>
    <t>03.05.2018.</t>
  </si>
  <si>
    <t>40.5-40.5-40.5</t>
  </si>
  <si>
    <t>N120.4 (AN)</t>
  </si>
  <si>
    <t>07.06.2018.</t>
  </si>
  <si>
    <t>10.06.2018.</t>
  </si>
  <si>
    <t>Fastac 0.2 L ha-1</t>
  </si>
  <si>
    <t>Butizan Avant 2.5 L ha-1</t>
  </si>
  <si>
    <t>18.05.2018.</t>
  </si>
  <si>
    <t>Biathlon 4D 0.05 kg ha-1</t>
  </si>
  <si>
    <t>Ascra Xpro 1.2 L ha-1</t>
  </si>
  <si>
    <t>26.06.2018.</t>
  </si>
  <si>
    <t>Viverda OD 1.5 L ha-1</t>
  </si>
  <si>
    <t>12.05.2018.</t>
  </si>
  <si>
    <t>75 N + 17.5 S</t>
  </si>
  <si>
    <t>45 N + 10.5 S</t>
  </si>
  <si>
    <t>27.09.2018.</t>
  </si>
  <si>
    <t>Primus XL 0.08 kg ha-1</t>
  </si>
  <si>
    <t>Proteuss D 0.7 L ha-1</t>
  </si>
  <si>
    <t>Modus Start 0.3 L ha-1</t>
  </si>
  <si>
    <t>Modus 0.4 L ha-1</t>
  </si>
  <si>
    <t>Falcon Forte 0.6 L ha-1</t>
  </si>
  <si>
    <t>Variano Xpro 1.0 L ha-1</t>
  </si>
  <si>
    <t>23.08.2017.</t>
  </si>
  <si>
    <t>Devrinols 2.0 L ha-1</t>
  </si>
  <si>
    <t>Riza 2550 1.0 L ha-1</t>
  </si>
  <si>
    <t>N60; S20 (AS)</t>
  </si>
  <si>
    <t>Yara Vita Brasitrel 3 L ha-1</t>
  </si>
  <si>
    <t>Lyder Bor 2 L ha-1</t>
  </si>
  <si>
    <t>17.10.2017.</t>
  </si>
  <si>
    <t>Riza 250 1.0 L ha-1</t>
  </si>
  <si>
    <t>MPS Pēterlauki ziemas rapsi noraktīja pēc ziemcietības novērtēšanas, jo jau 2017. gada rudenī sējums bija ļoti nevienmērīgi sadīdzis un to nebūtu iespējams korekti izmantot ražas uzskaitei.</t>
  </si>
  <si>
    <t>30.08.2018.</t>
  </si>
  <si>
    <t>30.04.2018.</t>
  </si>
  <si>
    <t>N 60 S 20 (AS)</t>
  </si>
  <si>
    <t>Dervinols 2.0 L ha-1</t>
  </si>
  <si>
    <t>08.06.2018.</t>
  </si>
  <si>
    <t>Lontrel 0.15 kg ha-1</t>
  </si>
  <si>
    <t>22.06.2018.</t>
  </si>
  <si>
    <t>Fastac 0.3 L ha-1</t>
  </si>
  <si>
    <t>29.06.2018.</t>
  </si>
  <si>
    <t>Zoom 2.0 L ha-1</t>
  </si>
  <si>
    <t>Saimniecisko īpašību novērtēšanas rezultāti vasaras CL rapsim 2018.gadā</t>
  </si>
  <si>
    <t>VCU trial results for CL spring oil seed rape in 2018</t>
  </si>
  <si>
    <t>DLE18815S21</t>
  </si>
  <si>
    <t>8EN0022 CL</t>
  </si>
  <si>
    <t>8EN0023 CL</t>
  </si>
  <si>
    <t>8EN0024 CL</t>
  </si>
  <si>
    <t>V.mieži</t>
  </si>
  <si>
    <r>
      <t>H</t>
    </r>
    <r>
      <rPr>
        <sz val="9"/>
        <color indexed="8"/>
        <rFont val="Verdana"/>
        <family val="2"/>
      </rPr>
      <t>ibrīdiem 80 d.s. m</t>
    </r>
    <r>
      <rPr>
        <vertAlign val="superscript"/>
        <sz val="9"/>
        <color indexed="8"/>
        <rFont val="Verdana"/>
        <family val="2"/>
      </rPr>
      <t>2</t>
    </r>
  </si>
  <si>
    <t xml:space="preserve">N 104 </t>
  </si>
  <si>
    <t>21.08.2018.</t>
  </si>
  <si>
    <t>26.05.2018.</t>
  </si>
  <si>
    <t>Yara Vita Brasitrel 1.0 L ha-1</t>
  </si>
  <si>
    <t>Yara Vita Brasitrel 1.0 L ha -1</t>
  </si>
  <si>
    <t>V.kvieši</t>
  </si>
  <si>
    <t>Velēnu podzolētā, glejotā, sM</t>
  </si>
  <si>
    <t>Viengadīgā airene</t>
  </si>
  <si>
    <t>Vp glejotā, sM</t>
  </si>
  <si>
    <t>25.10.2018.</t>
  </si>
  <si>
    <t>25.10.2017.</t>
  </si>
  <si>
    <t>08.04.2018..</t>
  </si>
  <si>
    <t>Saimniecisko īpašību novērtēšanas rezultāti sojai 2018.gadā</t>
  </si>
  <si>
    <t>VCU trial results for soja bean in 2018</t>
  </si>
  <si>
    <t>Saimniecisko īpašību novērtējums vidēji vēlīniem kartupeļiem 2018.gadā.</t>
  </si>
  <si>
    <t>VCU trial results for midlle late potatoes in 2018</t>
  </si>
  <si>
    <t>Allstar</t>
  </si>
  <si>
    <t>14.05.2018.</t>
  </si>
  <si>
    <t>08.09.2018.</t>
  </si>
  <si>
    <t>11.05.2018.</t>
  </si>
  <si>
    <t>72-66-108</t>
  </si>
  <si>
    <t>Lietots 12:11:18</t>
  </si>
  <si>
    <t>N 30</t>
  </si>
  <si>
    <t>Yara Liva Nitrabors 200 kg ha-1</t>
  </si>
  <si>
    <t>Vp, mS</t>
  </si>
  <si>
    <t>05.07.2017.</t>
  </si>
  <si>
    <t>20.07.2018.</t>
  </si>
  <si>
    <t>Bravo 3 L ha-1</t>
  </si>
  <si>
    <t>18.08.2018.</t>
  </si>
  <si>
    <t>Pļaušana</t>
  </si>
  <si>
    <t>17.05.2018.</t>
  </si>
  <si>
    <t>21.09.2018.</t>
  </si>
  <si>
    <r>
      <t>AN 150 kg ha</t>
    </r>
    <r>
      <rPr>
        <vertAlign val="superscript"/>
        <sz val="9"/>
        <rFont val="Verdana"/>
        <family val="2"/>
      </rPr>
      <t>-1</t>
    </r>
  </si>
  <si>
    <t>Mistral 0.7 kg ha-1</t>
  </si>
  <si>
    <t>18.06.2018.</t>
  </si>
  <si>
    <t>Leopard 2.0 L ha-1</t>
  </si>
  <si>
    <t>Fastac 0.3 l ha-1</t>
  </si>
  <si>
    <t>Saimniecisko īpašību novērtējums eļļas kaņepēm 2018.gadā.</t>
  </si>
  <si>
    <t>VCU trial results for oil hemp in 2018</t>
  </si>
  <si>
    <r>
      <t>Eļļas kaņepes (</t>
    </r>
    <r>
      <rPr>
        <b/>
        <i/>
        <sz val="10"/>
        <color theme="1"/>
        <rFont val="Verdana"/>
        <family val="2"/>
      </rPr>
      <t>Canabis sativa</t>
    </r>
    <r>
      <rPr>
        <i/>
        <sz val="10"/>
        <color indexed="8"/>
        <rFont val="Verdana"/>
        <family val="2"/>
      </rPr>
      <t xml:space="preserve"> L. )               </t>
    </r>
  </si>
  <si>
    <t xml:space="preserve">t ha-1 </t>
  </si>
  <si>
    <t>Finola</t>
  </si>
  <si>
    <t>Regina</t>
  </si>
  <si>
    <t>Katani</t>
  </si>
  <si>
    <t>Picolo</t>
  </si>
  <si>
    <t>CRS - 1</t>
  </si>
  <si>
    <t>CFX -- 1</t>
  </si>
  <si>
    <t>CFX - 2</t>
  </si>
  <si>
    <t>Vp, sM</t>
  </si>
  <si>
    <t>200 d.s. m2</t>
  </si>
  <si>
    <t>14.09.2018.</t>
  </si>
  <si>
    <t>10.05.2018.</t>
  </si>
  <si>
    <t>17.09.2018.</t>
  </si>
  <si>
    <t>09.05.2018.</t>
  </si>
  <si>
    <t>20-52-52</t>
  </si>
  <si>
    <t>N 51.6</t>
  </si>
  <si>
    <r>
      <t>SOJA  (</t>
    </r>
    <r>
      <rPr>
        <i/>
        <sz val="10"/>
        <color theme="1"/>
        <rFont val="Verdana"/>
        <family val="2"/>
      </rPr>
      <t>Glycine max</t>
    </r>
    <r>
      <rPr>
        <i/>
        <sz val="10"/>
        <color indexed="8"/>
        <rFont val="Verdana"/>
        <family val="2"/>
      </rPr>
      <t>)</t>
    </r>
  </si>
  <si>
    <t>Anushka</t>
  </si>
  <si>
    <t>PV1 - Vg, sM</t>
  </si>
  <si>
    <t>Z.kvieši</t>
  </si>
  <si>
    <r>
      <t>60 d.s. m</t>
    </r>
    <r>
      <rPr>
        <vertAlign val="superscript"/>
        <sz val="9"/>
        <color indexed="8"/>
        <rFont val="Verdana"/>
        <family val="2"/>
      </rPr>
      <t>2</t>
    </r>
  </si>
  <si>
    <t>11.2-33.7-67.5</t>
  </si>
  <si>
    <t>Rhizobium Inoculants</t>
  </si>
  <si>
    <t>Sēklu apstrāde</t>
  </si>
  <si>
    <t>Stomp CS 2.0 L ha-1</t>
  </si>
  <si>
    <t>Zoom 1.0 L ha-1</t>
  </si>
  <si>
    <t>Kodne</t>
  </si>
  <si>
    <r>
      <t>Maxim 025 FS (</t>
    </r>
    <r>
      <rPr>
        <i/>
        <sz val="9"/>
        <rFont val="Verdana"/>
        <family val="2"/>
      </rPr>
      <t>fludioksonils, 25 g/L</t>
    </r>
    <r>
      <rPr>
        <sz val="9"/>
        <rFont val="Verdana"/>
        <family val="2"/>
      </rPr>
      <t>) 1.5 L t</t>
    </r>
    <r>
      <rPr>
        <vertAlign val="superscript"/>
        <sz val="9"/>
        <rFont val="Verdana"/>
        <family val="2"/>
      </rPr>
      <t>-1</t>
    </r>
  </si>
  <si>
    <t>Maxim 025 FS (fludioksonils, 25 g/L) 1.5 L t-1</t>
  </si>
  <si>
    <r>
      <t>Maxim Star 025 FS (fludioksonils, 18.75 g/l, ciprokonazols, 6.25 g/l) 1.5 L t</t>
    </r>
    <r>
      <rPr>
        <vertAlign val="superscript"/>
        <sz val="9"/>
        <color indexed="8"/>
        <rFont val="Verdana"/>
        <family val="2"/>
      </rPr>
      <t>-1</t>
    </r>
  </si>
  <si>
    <r>
      <t>Maxim Star 025 FS (</t>
    </r>
    <r>
      <rPr>
        <i/>
        <sz val="9"/>
        <color indexed="8"/>
        <rFont val="Verdana"/>
        <family val="2"/>
      </rPr>
      <t>fludioksonils, 18.75 g/l, ciprokonazols, 6.25 g/l</t>
    </r>
    <r>
      <rPr>
        <sz val="9"/>
        <color indexed="8"/>
        <rFont val="Verdana"/>
        <family val="2"/>
      </rPr>
      <t>) 1.5 L t</t>
    </r>
    <r>
      <rPr>
        <vertAlign val="superscript"/>
        <sz val="9"/>
        <color indexed="8"/>
        <rFont val="Verdana"/>
        <family val="2"/>
      </rPr>
      <t>-1</t>
    </r>
  </si>
  <si>
    <r>
      <t>Maxim Star 025 FS (fludioksonils, 18.75 g/l, ciprokonazols, 6.25 g/l) 2.0 L t</t>
    </r>
    <r>
      <rPr>
        <vertAlign val="superscript"/>
        <sz val="9"/>
        <rFont val="Verdana"/>
        <family val="2"/>
      </rPr>
      <t>-1</t>
    </r>
  </si>
  <si>
    <r>
      <t>Maxim Star 025 FS (fludioksonils, 18.75 g/l, ciprokonazols, 6.25 g/l) 2.0 L t</t>
    </r>
    <r>
      <rPr>
        <vertAlign val="superscript"/>
        <sz val="9"/>
        <color theme="1"/>
        <rFont val="Verdana"/>
        <family val="2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</si>
</sst>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L_s_-;\-* #,##0.00\ _L_s_-;_-* &quot;-&quot;??\ _L_s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indexed="8"/>
      <name val="Verdana"/>
      <family val="2"/>
    </font>
    <font>
      <i/>
      <sz val="12"/>
      <color indexed="8"/>
      <name val="Verdana"/>
      <family val="2"/>
    </font>
    <font>
      <vertAlign val="superscript"/>
      <sz val="10"/>
      <color indexed="8"/>
      <name val="Verdana"/>
      <family val="2"/>
    </font>
    <font>
      <b/>
      <i/>
      <sz val="12"/>
      <color indexed="8"/>
      <name val="Verdana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vertAlign val="subscript"/>
      <sz val="9"/>
      <color indexed="8"/>
      <name val="Verdana"/>
      <family val="2"/>
    </font>
    <font>
      <sz val="9"/>
      <color indexed="8"/>
      <name val="Verdana"/>
      <family val="2"/>
    </font>
    <font>
      <vertAlign val="superscript"/>
      <sz val="9"/>
      <color indexed="8"/>
      <name val="Verdana"/>
      <family val="2"/>
    </font>
    <font>
      <sz val="11"/>
      <name val="Calibri"/>
      <family val="2"/>
      <scheme val="minor"/>
    </font>
    <font>
      <b/>
      <i/>
      <sz val="10"/>
      <color theme="1"/>
      <name val="Verdana"/>
      <family val="2"/>
    </font>
    <font>
      <vertAlign val="superscript"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sz val="10"/>
      <color rgb="FFFF0000"/>
      <name val="Verdana"/>
      <family val="2"/>
    </font>
    <font>
      <sz val="11"/>
      <color rgb="FFFF0000"/>
      <name val="Verdana"/>
      <family val="2"/>
    </font>
    <font>
      <vertAlign val="superscript"/>
      <sz val="9"/>
      <name val="Verdana"/>
      <family val="2"/>
    </font>
    <font>
      <sz val="11"/>
      <name val="Verdana"/>
      <family val="2"/>
    </font>
    <font>
      <sz val="9"/>
      <color theme="1"/>
      <name val="Verdana"/>
      <family val="2"/>
      <charset val="186"/>
    </font>
    <font>
      <sz val="9"/>
      <name val="Verdana"/>
      <family val="2"/>
      <charset val="186"/>
    </font>
    <font>
      <b/>
      <sz val="11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2"/>
      <color theme="1"/>
      <name val="Times New Roman"/>
      <family val="1"/>
      <charset val="186"/>
    </font>
    <font>
      <i/>
      <sz val="9"/>
      <name val="Verdana"/>
      <family val="2"/>
    </font>
    <font>
      <i/>
      <sz val="9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7" fillId="0" borderId="0"/>
    <xf numFmtId="165" fontId="7" fillId="0" borderId="0" applyFont="0" applyFill="0" applyBorder="0" applyAlignment="0" applyProtection="0"/>
    <xf numFmtId="0" fontId="7" fillId="0" borderId="0"/>
    <xf numFmtId="0" fontId="41" fillId="0" borderId="0"/>
    <xf numFmtId="165" fontId="4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8" fillId="0" borderId="0"/>
  </cellStyleXfs>
  <cellXfs count="452">
    <xf numFmtId="0" fontId="0" fillId="0" borderId="0" xfId="0"/>
    <xf numFmtId="164" fontId="10" fillId="0" borderId="1" xfId="7" applyNumberFormat="1" applyFont="1" applyFill="1" applyBorder="1" applyAlignment="1">
      <alignment horizontal="center" vertical="center" wrapText="1"/>
    </xf>
    <xf numFmtId="1" fontId="10" fillId="0" borderId="1" xfId="7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2" fillId="0" borderId="0" xfId="7" applyFont="1"/>
    <xf numFmtId="0" fontId="9" fillId="0" borderId="0" xfId="7" applyFont="1"/>
    <xf numFmtId="0" fontId="8" fillId="0" borderId="0" xfId="7" applyFont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Border="1" applyAlignment="1">
      <alignment horizontal="center" vertical="center" wrapText="1"/>
    </xf>
    <xf numFmtId="1" fontId="10" fillId="0" borderId="1" xfId="7" applyNumberFormat="1" applyFont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Border="1" applyAlignment="1">
      <alignment horizontal="center" vertical="center" wrapText="1"/>
    </xf>
    <xf numFmtId="1" fontId="11" fillId="0" borderId="1" xfId="7" applyNumberFormat="1" applyFont="1" applyFill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1" fontId="10" fillId="0" borderId="1" xfId="7" applyNumberFormat="1" applyFont="1" applyBorder="1" applyAlignment="1">
      <alignment horizontal="center" vertical="center" wrapText="1"/>
    </xf>
    <xf numFmtId="1" fontId="11" fillId="0" borderId="1" xfId="7" applyNumberFormat="1" applyFont="1" applyFill="1" applyBorder="1" applyAlignment="1">
      <alignment horizontal="center" vertical="center" wrapText="1"/>
    </xf>
    <xf numFmtId="0" fontId="9" fillId="0" borderId="0" xfId="7" applyFont="1"/>
    <xf numFmtId="0" fontId="12" fillId="0" borderId="0" xfId="7" applyFont="1"/>
    <xf numFmtId="0" fontId="8" fillId="0" borderId="0" xfId="7" applyFont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2" fontId="10" fillId="0" borderId="1" xfId="7" applyNumberFormat="1" applyFont="1" applyBorder="1" applyAlignment="1">
      <alignment horizontal="center" vertical="center" wrapText="1"/>
    </xf>
    <xf numFmtId="164" fontId="10" fillId="0" borderId="1" xfId="7" applyNumberFormat="1" applyFont="1" applyBorder="1" applyAlignment="1">
      <alignment horizontal="center" vertical="center" wrapText="1"/>
    </xf>
    <xf numFmtId="0" fontId="8" fillId="0" borderId="0" xfId="7" applyFont="1"/>
    <xf numFmtId="0" fontId="10" fillId="0" borderId="0" xfId="7" applyFont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13" fillId="0" borderId="1" xfId="150" applyFont="1" applyFill="1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/>
    <xf numFmtId="164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8" fillId="0" borderId="0" xfId="7" applyFont="1"/>
    <xf numFmtId="0" fontId="10" fillId="0" borderId="0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8" fillId="0" borderId="0" xfId="7" applyFont="1"/>
    <xf numFmtId="0" fontId="9" fillId="0" borderId="0" xfId="7" applyFont="1"/>
    <xf numFmtId="0" fontId="12" fillId="0" borderId="0" xfId="7" applyFont="1"/>
    <xf numFmtId="0" fontId="8" fillId="0" borderId="0" xfId="7" applyFont="1"/>
    <xf numFmtId="0" fontId="8" fillId="0" borderId="0" xfId="7" applyFont="1"/>
    <xf numFmtId="0" fontId="9" fillId="0" borderId="0" xfId="7" applyFont="1"/>
    <xf numFmtId="0" fontId="10" fillId="0" borderId="0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center" vertical="center" wrapText="1"/>
    </xf>
    <xf numFmtId="0" fontId="12" fillId="0" borderId="0" xfId="7" applyFont="1"/>
    <xf numFmtId="0" fontId="10" fillId="0" borderId="3" xfId="7" applyFont="1" applyBorder="1" applyAlignment="1">
      <alignment horizontal="center" vertical="center" wrapText="1"/>
    </xf>
    <xf numFmtId="0" fontId="10" fillId="0" borderId="0" xfId="0" applyFont="1"/>
    <xf numFmtId="1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2" fillId="0" borderId="0" xfId="7" applyFont="1"/>
    <xf numFmtId="0" fontId="8" fillId="0" borderId="0" xfId="7" applyFont="1"/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2" fillId="0" borderId="0" xfId="7" applyFont="1"/>
    <xf numFmtId="0" fontId="8" fillId="0" borderId="0" xfId="7" applyFont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2" fillId="0" borderId="0" xfId="7" applyFont="1"/>
    <xf numFmtId="0" fontId="11" fillId="0" borderId="0" xfId="7" applyFont="1" applyAlignment="1">
      <alignment vertical="center"/>
    </xf>
    <xf numFmtId="0" fontId="8" fillId="0" borderId="0" xfId="7" applyFont="1"/>
    <xf numFmtId="0" fontId="10" fillId="0" borderId="0" xfId="7" applyFont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center" vertical="center" wrapText="1"/>
    </xf>
    <xf numFmtId="0" fontId="12" fillId="0" borderId="0" xfId="7" applyFont="1"/>
    <xf numFmtId="0" fontId="10" fillId="0" borderId="2" xfId="7" applyFont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1" fontId="13" fillId="0" borderId="1" xfId="7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1" xfId="0" applyBorder="1"/>
    <xf numFmtId="0" fontId="21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1" fillId="0" borderId="5" xfId="0" applyFont="1" applyBorder="1"/>
    <xf numFmtId="0" fontId="21" fillId="0" borderId="1" xfId="0" applyFont="1" applyBorder="1"/>
    <xf numFmtId="0" fontId="21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9" fillId="0" borderId="1" xfId="0" applyFont="1" applyBorder="1"/>
    <xf numFmtId="0" fontId="21" fillId="0" borderId="3" xfId="0" applyFont="1" applyBorder="1"/>
    <xf numFmtId="0" fontId="21" fillId="0" borderId="0" xfId="0" applyFont="1" applyBorder="1" applyAlignment="1">
      <alignment horizontal="center"/>
    </xf>
    <xf numFmtId="0" fontId="21" fillId="0" borderId="2" xfId="0" applyFont="1" applyBorder="1"/>
    <xf numFmtId="0" fontId="21" fillId="0" borderId="9" xfId="0" applyFont="1" applyBorder="1"/>
    <xf numFmtId="0" fontId="21" fillId="0" borderId="3" xfId="0" applyFont="1" applyBorder="1" applyAlignment="1">
      <alignment horizontal="center"/>
    </xf>
    <xf numFmtId="0" fontId="21" fillId="0" borderId="0" xfId="0" applyFont="1" applyBorder="1"/>
    <xf numFmtId="0" fontId="21" fillId="0" borderId="4" xfId="0" applyFont="1" applyBorder="1"/>
    <xf numFmtId="0" fontId="21" fillId="0" borderId="9" xfId="0" applyFont="1" applyBorder="1" applyAlignment="1"/>
    <xf numFmtId="0" fontId="21" fillId="0" borderId="0" xfId="0" applyFont="1" applyBorder="1" applyAlignment="1"/>
    <xf numFmtId="0" fontId="21" fillId="0" borderId="4" xfId="0" applyFont="1" applyBorder="1" applyAlignment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4" fontId="0" fillId="0" borderId="0" xfId="0" applyNumberFormat="1"/>
    <xf numFmtId="2" fontId="25" fillId="3" borderId="1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Fill="1" applyBorder="1"/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/>
    <xf numFmtId="0" fontId="9" fillId="0" borderId="0" xfId="0" applyFont="1" applyBorder="1"/>
    <xf numFmtId="0" fontId="9" fillId="0" borderId="9" xfId="0" applyFont="1" applyBorder="1" applyAlignment="1"/>
    <xf numFmtId="0" fontId="9" fillId="0" borderId="0" xfId="0" applyFont="1" applyBorder="1" applyAlignment="1"/>
    <xf numFmtId="0" fontId="10" fillId="0" borderId="1" xfId="7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0" fillId="0" borderId="1" xfId="0" applyFont="1" applyBorder="1"/>
    <xf numFmtId="0" fontId="21" fillId="0" borderId="7" xfId="0" applyFont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2" borderId="1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164" fontId="31" fillId="0" borderId="1" xfId="0" applyNumberFormat="1" applyFont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0" fillId="0" borderId="14" xfId="0" applyBorder="1"/>
    <xf numFmtId="164" fontId="10" fillId="0" borderId="14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/>
    <xf numFmtId="0" fontId="21" fillId="0" borderId="1" xfId="0" applyFont="1" applyBorder="1" applyAlignment="1">
      <alignment horizontal="center"/>
    </xf>
    <xf numFmtId="0" fontId="34" fillId="0" borderId="1" xfId="0" applyFont="1" applyBorder="1"/>
    <xf numFmtId="0" fontId="33" fillId="0" borderId="1" xfId="0" applyFont="1" applyBorder="1"/>
    <xf numFmtId="0" fontId="33" fillId="0" borderId="1" xfId="0" applyFont="1" applyBorder="1" applyAlignment="1"/>
    <xf numFmtId="0" fontId="33" fillId="0" borderId="7" xfId="0" applyFont="1" applyBorder="1" applyAlignment="1">
      <alignment horizontal="center"/>
    </xf>
    <xf numFmtId="0" fontId="35" fillId="0" borderId="1" xfId="0" applyFont="1" applyBorder="1"/>
    <xf numFmtId="0" fontId="33" fillId="0" borderId="3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Font="1" applyBorder="1"/>
    <xf numFmtId="0" fontId="29" fillId="0" borderId="1" xfId="0" applyFont="1" applyBorder="1"/>
    <xf numFmtId="0" fontId="21" fillId="2" borderId="1" xfId="0" applyFont="1" applyFill="1" applyBorder="1"/>
    <xf numFmtId="0" fontId="38" fillId="0" borderId="1" xfId="0" applyFont="1" applyBorder="1"/>
    <xf numFmtId="0" fontId="38" fillId="0" borderId="0" xfId="0" applyFont="1"/>
    <xf numFmtId="0" fontId="32" fillId="0" borderId="1" xfId="0" applyFont="1" applyBorder="1" applyAlignment="1"/>
    <xf numFmtId="0" fontId="37" fillId="0" borderId="1" xfId="0" applyFont="1" applyBorder="1"/>
    <xf numFmtId="0" fontId="32" fillId="0" borderId="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25" fillId="0" borderId="0" xfId="0" applyFont="1"/>
    <xf numFmtId="0" fontId="33" fillId="0" borderId="1" xfId="0" applyFont="1" applyFill="1" applyBorder="1"/>
    <xf numFmtId="0" fontId="32" fillId="0" borderId="4" xfId="0" applyFont="1" applyFill="1" applyBorder="1"/>
    <xf numFmtId="0" fontId="33" fillId="0" borderId="4" xfId="0" applyFont="1" applyBorder="1"/>
    <xf numFmtId="0" fontId="9" fillId="0" borderId="14" xfId="0" applyFont="1" applyBorder="1"/>
    <xf numFmtId="0" fontId="33" fillId="0" borderId="14" xfId="0" applyFont="1" applyBorder="1"/>
    <xf numFmtId="0" fontId="25" fillId="0" borderId="1" xfId="0" applyFont="1" applyBorder="1"/>
    <xf numFmtId="0" fontId="32" fillId="0" borderId="1" xfId="0" applyFont="1" applyFill="1" applyBorder="1"/>
    <xf numFmtId="0" fontId="39" fillId="0" borderId="1" xfId="0" applyFont="1" applyBorder="1"/>
    <xf numFmtId="0" fontId="32" fillId="2" borderId="6" xfId="0" applyFont="1" applyFill="1" applyBorder="1" applyAlignment="1">
      <alignment horizontal="center"/>
    </xf>
    <xf numFmtId="0" fontId="32" fillId="2" borderId="1" xfId="0" applyFont="1" applyFill="1" applyBorder="1"/>
    <xf numFmtId="0" fontId="32" fillId="2" borderId="1" xfId="0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14" fontId="21" fillId="0" borderId="1" xfId="0" applyNumberFormat="1" applyFont="1" applyBorder="1" applyAlignment="1">
      <alignment horizontal="left"/>
    </xf>
    <xf numFmtId="0" fontId="10" fillId="0" borderId="1" xfId="7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2" xfId="0" applyFont="1" applyBorder="1"/>
    <xf numFmtId="2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10" fillId="3" borderId="1" xfId="7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vertical="center" wrapText="1"/>
    </xf>
    <xf numFmtId="2" fontId="10" fillId="3" borderId="1" xfId="7" applyNumberFormat="1" applyFont="1" applyFill="1" applyBorder="1" applyAlignment="1">
      <alignment horizontal="center" vertical="center" wrapText="1"/>
    </xf>
    <xf numFmtId="1" fontId="10" fillId="3" borderId="1" xfId="7" applyNumberFormat="1" applyFont="1" applyFill="1" applyBorder="1" applyAlignment="1">
      <alignment horizontal="center" vertical="center" wrapText="1"/>
    </xf>
    <xf numFmtId="164" fontId="10" fillId="3" borderId="1" xfId="7" applyNumberFormat="1" applyFont="1" applyFill="1" applyBorder="1" applyAlignment="1">
      <alignment horizontal="center" vertical="center" wrapText="1"/>
    </xf>
    <xf numFmtId="1" fontId="11" fillId="3" borderId="1" xfId="7" applyNumberFormat="1" applyFont="1" applyFill="1" applyBorder="1" applyAlignment="1">
      <alignment horizontal="center" vertical="center" wrapText="1"/>
    </xf>
    <xf numFmtId="1" fontId="13" fillId="3" borderId="1" xfId="7" applyNumberFormat="1" applyFont="1" applyFill="1" applyBorder="1" applyAlignment="1">
      <alignment horizontal="center" vertical="center" wrapText="1"/>
    </xf>
    <xf numFmtId="0" fontId="13" fillId="3" borderId="1" xfId="150" applyFont="1" applyFill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1" fontId="13" fillId="3" borderId="2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vertical="center"/>
    </xf>
    <xf numFmtId="164" fontId="3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0" fillId="4" borderId="1" xfId="0" applyFont="1" applyFill="1" applyBorder="1"/>
    <xf numFmtId="2" fontId="1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0" fillId="5" borderId="1" xfId="0" applyFont="1" applyFill="1" applyBorder="1"/>
    <xf numFmtId="0" fontId="13" fillId="5" borderId="1" xfId="150" applyFont="1" applyFill="1" applyBorder="1"/>
    <xf numFmtId="2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/>
    </xf>
    <xf numFmtId="1" fontId="13" fillId="5" borderId="2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1" fillId="0" borderId="4" xfId="0" applyFont="1" applyFill="1" applyBorder="1"/>
    <xf numFmtId="0" fontId="10" fillId="0" borderId="1" xfId="0" applyFont="1" applyBorder="1" applyAlignment="1">
      <alignment horizontal="center"/>
    </xf>
    <xf numFmtId="0" fontId="0" fillId="0" borderId="0" xfId="0"/>
    <xf numFmtId="0" fontId="32" fillId="0" borderId="9" xfId="0" applyFont="1" applyBorder="1"/>
    <xf numFmtId="0" fontId="32" fillId="0" borderId="0" xfId="0" applyFont="1" applyBorder="1" applyAlignment="1">
      <alignment horizontal="center"/>
    </xf>
    <xf numFmtId="0" fontId="32" fillId="0" borderId="9" xfId="0" applyFont="1" applyFill="1" applyBorder="1"/>
    <xf numFmtId="0" fontId="33" fillId="0" borderId="9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9" fillId="0" borderId="6" xfId="0" applyFont="1" applyBorder="1" applyAlignment="1"/>
    <xf numFmtId="0" fontId="10" fillId="0" borderId="5" xfId="0" applyFont="1" applyFill="1" applyBorder="1" applyAlignment="1">
      <alignment horizontal="center"/>
    </xf>
    <xf numFmtId="164" fontId="31" fillId="0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/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1" fillId="0" borderId="1" xfId="0" applyFont="1" applyFill="1" applyBorder="1"/>
    <xf numFmtId="0" fontId="32" fillId="0" borderId="3" xfId="0" applyFont="1" applyBorder="1"/>
    <xf numFmtId="0" fontId="42" fillId="0" borderId="0" xfId="0" applyFont="1"/>
    <xf numFmtId="0" fontId="10" fillId="0" borderId="1" xfId="7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/>
    </xf>
    <xf numFmtId="0" fontId="10" fillId="0" borderId="14" xfId="0" applyFont="1" applyBorder="1"/>
    <xf numFmtId="0" fontId="13" fillId="0" borderId="11" xfId="0" applyFont="1" applyFill="1" applyBorder="1" applyAlignment="1">
      <alignment vertical="center"/>
    </xf>
    <xf numFmtId="0" fontId="0" fillId="0" borderId="0" xfId="0" applyBorder="1"/>
    <xf numFmtId="0" fontId="13" fillId="0" borderId="9" xfId="0" applyFont="1" applyFill="1" applyBorder="1" applyAlignment="1">
      <alignment vertical="center"/>
    </xf>
    <xf numFmtId="0" fontId="10" fillId="0" borderId="1" xfId="7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0" fillId="0" borderId="5" xfId="7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center"/>
    </xf>
    <xf numFmtId="0" fontId="43" fillId="0" borderId="1" xfId="153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64" fontId="39" fillId="0" borderId="5" xfId="0" applyNumberFormat="1" applyFont="1" applyBorder="1" applyAlignment="1">
      <alignment horizontal="center"/>
    </xf>
    <xf numFmtId="164" fontId="39" fillId="0" borderId="6" xfId="0" applyNumberFormat="1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14" fontId="32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/>
    </xf>
    <xf numFmtId="164" fontId="32" fillId="2" borderId="5" xfId="0" applyNumberFormat="1" applyFont="1" applyFill="1" applyBorder="1" applyAlignment="1">
      <alignment horizontal="center"/>
    </xf>
    <xf numFmtId="164" fontId="32" fillId="2" borderId="6" xfId="0" applyNumberFormat="1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2" borderId="9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2" fontId="10" fillId="0" borderId="1" xfId="7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164" fontId="32" fillId="0" borderId="5" xfId="0" applyNumberFormat="1" applyFont="1" applyBorder="1" applyAlignment="1">
      <alignment horizontal="center"/>
    </xf>
    <xf numFmtId="164" fontId="32" fillId="0" borderId="6" xfId="0" applyNumberFormat="1" applyFont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2" fillId="0" borderId="5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0" fontId="34" fillId="0" borderId="5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10" fillId="0" borderId="5" xfId="7" applyFont="1" applyBorder="1" applyAlignment="1">
      <alignment horizontal="center" vertical="center" wrapText="1"/>
    </xf>
    <xf numFmtId="0" fontId="10" fillId="0" borderId="7" xfId="7" applyFont="1" applyBorder="1" applyAlignment="1">
      <alignment horizontal="center" vertical="center" wrapText="1"/>
    </xf>
    <xf numFmtId="0" fontId="10" fillId="0" borderId="6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11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0" fontId="10" fillId="0" borderId="12" xfId="7" applyFont="1" applyBorder="1" applyAlignment="1">
      <alignment horizontal="center" vertical="center" wrapText="1"/>
    </xf>
    <xf numFmtId="0" fontId="10" fillId="0" borderId="13" xfId="7" applyFont="1" applyBorder="1" applyAlignment="1">
      <alignment horizontal="center" vertical="center" wrapText="1"/>
    </xf>
    <xf numFmtId="0" fontId="10" fillId="0" borderId="8" xfId="7" applyFont="1" applyBorder="1" applyAlignment="1">
      <alignment horizontal="center" vertical="center" wrapText="1"/>
    </xf>
    <xf numFmtId="0" fontId="10" fillId="0" borderId="10" xfId="7" applyFont="1" applyBorder="1" applyAlignment="1">
      <alignment horizontal="center" vertical="center" wrapText="1"/>
    </xf>
    <xf numFmtId="2" fontId="10" fillId="0" borderId="11" xfId="7" applyNumberFormat="1" applyFont="1" applyBorder="1" applyAlignment="1">
      <alignment horizontal="center" vertical="center" wrapText="1"/>
    </xf>
    <xf numFmtId="2" fontId="10" fillId="0" borderId="14" xfId="7" applyNumberFormat="1" applyFont="1" applyBorder="1" applyAlignment="1">
      <alignment horizontal="center" vertical="center" wrapText="1"/>
    </xf>
    <xf numFmtId="2" fontId="10" fillId="0" borderId="12" xfId="7" applyNumberFormat="1" applyFont="1" applyBorder="1" applyAlignment="1">
      <alignment horizontal="center" vertical="center" wrapText="1"/>
    </xf>
    <xf numFmtId="2" fontId="10" fillId="0" borderId="13" xfId="7" applyNumberFormat="1" applyFont="1" applyBorder="1" applyAlignment="1">
      <alignment horizontal="center" vertical="center" wrapText="1"/>
    </xf>
    <xf numFmtId="2" fontId="10" fillId="0" borderId="8" xfId="7" applyNumberFormat="1" applyFont="1" applyBorder="1" applyAlignment="1">
      <alignment horizontal="center" vertical="center" wrapText="1"/>
    </xf>
    <xf numFmtId="2" fontId="10" fillId="0" borderId="10" xfId="7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/>
    </xf>
  </cellXfs>
  <cellStyles count="158">
    <cellStyle name="Comma 2" xfId="2" xr:uid="{00000000-0005-0000-0000-000000000000}"/>
    <cellStyle name="Comma 2 2" xfId="156" xr:uid="{00000000-0005-0000-0000-000001000000}"/>
    <cellStyle name="Comma 3" xfId="3" xr:uid="{00000000-0005-0000-0000-000002000000}"/>
    <cellStyle name="Comma 3 2" xfId="4" xr:uid="{00000000-0005-0000-0000-000003000000}"/>
    <cellStyle name="Comma 3 3" xfId="5" xr:uid="{00000000-0005-0000-0000-000004000000}"/>
    <cellStyle name="Comma 3 4" xfId="149" xr:uid="{00000000-0005-0000-0000-000005000000}"/>
    <cellStyle name="Comma 4" xfId="6" xr:uid="{00000000-0005-0000-0000-000006000000}"/>
    <cellStyle name="Comma 5" xfId="148" xr:uid="{00000000-0005-0000-0000-000007000000}"/>
    <cellStyle name="Comma 5 2" xfId="152" xr:uid="{00000000-0005-0000-0000-000008000000}"/>
    <cellStyle name="Comma 6" xfId="155" xr:uid="{00000000-0005-0000-0000-000009000000}"/>
    <cellStyle name="Normal 10" xfId="7" xr:uid="{00000000-0005-0000-0000-00000B000000}"/>
    <cellStyle name="Normal 10 2" xfId="8" xr:uid="{00000000-0005-0000-0000-00000C000000}"/>
    <cellStyle name="Normal 11" xfId="9" xr:uid="{00000000-0005-0000-0000-00000D000000}"/>
    <cellStyle name="Normal 12" xfId="1" xr:uid="{00000000-0005-0000-0000-00000E000000}"/>
    <cellStyle name="Normal 13" xfId="150" xr:uid="{00000000-0005-0000-0000-00000F000000}"/>
    <cellStyle name="Normal 13 2" xfId="153" xr:uid="{00000000-0005-0000-0000-000010000000}"/>
    <cellStyle name="Normal 14" xfId="151" xr:uid="{00000000-0005-0000-0000-000011000000}"/>
    <cellStyle name="Normal 15" xfId="154" xr:uid="{00000000-0005-0000-0000-000012000000}"/>
    <cellStyle name="Normal 2" xfId="10" xr:uid="{00000000-0005-0000-0000-000013000000}"/>
    <cellStyle name="Normal 2 2" xfId="11" xr:uid="{00000000-0005-0000-0000-000014000000}"/>
    <cellStyle name="Normal 2 2 2" xfId="12" xr:uid="{00000000-0005-0000-0000-000015000000}"/>
    <cellStyle name="Normal 2 2 2 2" xfId="13" xr:uid="{00000000-0005-0000-0000-000016000000}"/>
    <cellStyle name="Normal 2 2 2 2 2" xfId="14" xr:uid="{00000000-0005-0000-0000-000017000000}"/>
    <cellStyle name="Normal 2 2 2 2 2 2" xfId="15" xr:uid="{00000000-0005-0000-0000-000018000000}"/>
    <cellStyle name="Normal 2 2 2 2 2 2 2" xfId="16" xr:uid="{00000000-0005-0000-0000-000019000000}"/>
    <cellStyle name="Normal 2 2 2 2 2 2 2 2" xfId="17" xr:uid="{00000000-0005-0000-0000-00001A000000}"/>
    <cellStyle name="Normal 2 2 2 2 2 2 3" xfId="18" xr:uid="{00000000-0005-0000-0000-00001B000000}"/>
    <cellStyle name="Normal 2 2 2 2 2 3" xfId="19" xr:uid="{00000000-0005-0000-0000-00001C000000}"/>
    <cellStyle name="Normal 2 2 2 2 2 3 2" xfId="20" xr:uid="{00000000-0005-0000-0000-00001D000000}"/>
    <cellStyle name="Normal 2 2 2 2 3" xfId="21" xr:uid="{00000000-0005-0000-0000-00001E000000}"/>
    <cellStyle name="Normal 2 2 2 2 4" xfId="22" xr:uid="{00000000-0005-0000-0000-00001F000000}"/>
    <cellStyle name="Normal 2 2 2 2 4 2" xfId="23" xr:uid="{00000000-0005-0000-0000-000020000000}"/>
    <cellStyle name="Normal 2 2 2 2 5" xfId="24" xr:uid="{00000000-0005-0000-0000-000021000000}"/>
    <cellStyle name="Normal 2 2 2 3" xfId="25" xr:uid="{00000000-0005-0000-0000-000022000000}"/>
    <cellStyle name="Normal 2 2 2 3 2" xfId="26" xr:uid="{00000000-0005-0000-0000-000023000000}"/>
    <cellStyle name="Normal 2 2 2 3 2 2" xfId="27" xr:uid="{00000000-0005-0000-0000-000024000000}"/>
    <cellStyle name="Normal 2 2 2 3 2 2 2" xfId="28" xr:uid="{00000000-0005-0000-0000-000025000000}"/>
    <cellStyle name="Normal 2 2 2 3 2 3" xfId="29" xr:uid="{00000000-0005-0000-0000-000026000000}"/>
    <cellStyle name="Normal 2 2 2 3 3" xfId="30" xr:uid="{00000000-0005-0000-0000-000027000000}"/>
    <cellStyle name="Normal 2 2 2 3 3 2" xfId="31" xr:uid="{00000000-0005-0000-0000-000028000000}"/>
    <cellStyle name="Normal 2 2 2 4" xfId="32" xr:uid="{00000000-0005-0000-0000-000029000000}"/>
    <cellStyle name="Normal 2 2 2 4 2" xfId="33" xr:uid="{00000000-0005-0000-0000-00002A000000}"/>
    <cellStyle name="Normal 2 2 2 5" xfId="34" xr:uid="{00000000-0005-0000-0000-00002B000000}"/>
    <cellStyle name="Normal 2 2 3" xfId="35" xr:uid="{00000000-0005-0000-0000-00002C000000}"/>
    <cellStyle name="Normal 2 2 4" xfId="36" xr:uid="{00000000-0005-0000-0000-00002D000000}"/>
    <cellStyle name="Normal 2 2 4 2" xfId="37" xr:uid="{00000000-0005-0000-0000-00002E000000}"/>
    <cellStyle name="Normal 2 2 4 2 2" xfId="38" xr:uid="{00000000-0005-0000-0000-00002F000000}"/>
    <cellStyle name="Normal 2 2 4 2 2 2" xfId="39" xr:uid="{00000000-0005-0000-0000-000030000000}"/>
    <cellStyle name="Normal 2 2 4 2 3" xfId="40" xr:uid="{00000000-0005-0000-0000-000031000000}"/>
    <cellStyle name="Normal 2 2 4 3" xfId="41" xr:uid="{00000000-0005-0000-0000-000032000000}"/>
    <cellStyle name="Normal 2 2 4 3 2" xfId="42" xr:uid="{00000000-0005-0000-0000-000033000000}"/>
    <cellStyle name="Normal 2 2 5" xfId="43" xr:uid="{00000000-0005-0000-0000-000034000000}"/>
    <cellStyle name="Normal 2 2 6" xfId="44" xr:uid="{00000000-0005-0000-0000-000035000000}"/>
    <cellStyle name="Normal 2 2 6 2" xfId="45" xr:uid="{00000000-0005-0000-0000-000036000000}"/>
    <cellStyle name="Normal 2 2 7" xfId="46" xr:uid="{00000000-0005-0000-0000-000037000000}"/>
    <cellStyle name="Normal 2 2 8" xfId="47" xr:uid="{00000000-0005-0000-0000-000038000000}"/>
    <cellStyle name="Normal 2 3" xfId="48" xr:uid="{00000000-0005-0000-0000-000039000000}"/>
    <cellStyle name="Normal 2 3 2" xfId="49" xr:uid="{00000000-0005-0000-0000-00003A000000}"/>
    <cellStyle name="Normal 2 3 2 2" xfId="50" xr:uid="{00000000-0005-0000-0000-00003B000000}"/>
    <cellStyle name="Normal 2 3 2 2 2" xfId="51" xr:uid="{00000000-0005-0000-0000-00003C000000}"/>
    <cellStyle name="Normal 2 3 2 2 2 2" xfId="52" xr:uid="{00000000-0005-0000-0000-00003D000000}"/>
    <cellStyle name="Normal 2 3 2 2 2 2 2" xfId="53" xr:uid="{00000000-0005-0000-0000-00003E000000}"/>
    <cellStyle name="Normal 2 3 2 2 2 3" xfId="54" xr:uid="{00000000-0005-0000-0000-00003F000000}"/>
    <cellStyle name="Normal 2 3 2 2 3" xfId="55" xr:uid="{00000000-0005-0000-0000-000040000000}"/>
    <cellStyle name="Normal 2 3 2 2 3 2" xfId="56" xr:uid="{00000000-0005-0000-0000-000041000000}"/>
    <cellStyle name="Normal 2 3 2 3" xfId="57" xr:uid="{00000000-0005-0000-0000-000042000000}"/>
    <cellStyle name="Normal 2 3 2 4" xfId="58" xr:uid="{00000000-0005-0000-0000-000043000000}"/>
    <cellStyle name="Normal 2 3 2 4 2" xfId="59" xr:uid="{00000000-0005-0000-0000-000044000000}"/>
    <cellStyle name="Normal 2 3 2 5" xfId="60" xr:uid="{00000000-0005-0000-0000-000045000000}"/>
    <cellStyle name="Normal 2 3 3" xfId="61" xr:uid="{00000000-0005-0000-0000-000046000000}"/>
    <cellStyle name="Normal 2 3 3 2" xfId="62" xr:uid="{00000000-0005-0000-0000-000047000000}"/>
    <cellStyle name="Normal 2 3 3 2 2" xfId="63" xr:uid="{00000000-0005-0000-0000-000048000000}"/>
    <cellStyle name="Normal 2 3 3 2 2 2" xfId="64" xr:uid="{00000000-0005-0000-0000-000049000000}"/>
    <cellStyle name="Normal 2 3 3 2 3" xfId="65" xr:uid="{00000000-0005-0000-0000-00004A000000}"/>
    <cellStyle name="Normal 2 3 3 3" xfId="66" xr:uid="{00000000-0005-0000-0000-00004B000000}"/>
    <cellStyle name="Normal 2 3 3 3 2" xfId="67" xr:uid="{00000000-0005-0000-0000-00004C000000}"/>
    <cellStyle name="Normal 2 3 4" xfId="68" xr:uid="{00000000-0005-0000-0000-00004D000000}"/>
    <cellStyle name="Normal 2 3 4 2" xfId="69" xr:uid="{00000000-0005-0000-0000-00004E000000}"/>
    <cellStyle name="Normal 2 3 5" xfId="70" xr:uid="{00000000-0005-0000-0000-00004F000000}"/>
    <cellStyle name="Normal 2 4" xfId="71" xr:uid="{00000000-0005-0000-0000-000050000000}"/>
    <cellStyle name="Normal 2 4 2" xfId="72" xr:uid="{00000000-0005-0000-0000-000051000000}"/>
    <cellStyle name="Normal 2 4 2 2" xfId="73" xr:uid="{00000000-0005-0000-0000-000052000000}"/>
    <cellStyle name="Normal 2 4 2 2 2" xfId="74" xr:uid="{00000000-0005-0000-0000-000053000000}"/>
    <cellStyle name="Normal 2 4 2 3" xfId="75" xr:uid="{00000000-0005-0000-0000-000054000000}"/>
    <cellStyle name="Normal 2 4 3" xfId="76" xr:uid="{00000000-0005-0000-0000-000055000000}"/>
    <cellStyle name="Normal 2 4 3 2" xfId="77" xr:uid="{00000000-0005-0000-0000-000056000000}"/>
    <cellStyle name="Normal 2 5" xfId="78" xr:uid="{00000000-0005-0000-0000-000057000000}"/>
    <cellStyle name="Normal 2 6" xfId="79" xr:uid="{00000000-0005-0000-0000-000058000000}"/>
    <cellStyle name="Normal 2 6 2" xfId="80" xr:uid="{00000000-0005-0000-0000-000059000000}"/>
    <cellStyle name="Normal 2 7" xfId="81" xr:uid="{00000000-0005-0000-0000-00005A000000}"/>
    <cellStyle name="Normal 2 8" xfId="82" xr:uid="{00000000-0005-0000-0000-00005B000000}"/>
    <cellStyle name="Normal 2 9" xfId="157" xr:uid="{00000000-0005-0000-0000-00005C000000}"/>
    <cellStyle name="Normal 3" xfId="83" xr:uid="{00000000-0005-0000-0000-00005D000000}"/>
    <cellStyle name="Normal 3 2" xfId="84" xr:uid="{00000000-0005-0000-0000-00005E000000}"/>
    <cellStyle name="Normal 3 3" xfId="85" xr:uid="{00000000-0005-0000-0000-00005F000000}"/>
    <cellStyle name="Normal 3 4" xfId="86" xr:uid="{00000000-0005-0000-0000-000060000000}"/>
    <cellStyle name="Normal 3 5" xfId="87" xr:uid="{00000000-0005-0000-0000-000061000000}"/>
    <cellStyle name="Normal 3 6" xfId="88" xr:uid="{00000000-0005-0000-0000-000062000000}"/>
    <cellStyle name="Normal 3 7" xfId="89" xr:uid="{00000000-0005-0000-0000-000063000000}"/>
    <cellStyle name="Normal 3 8" xfId="90" xr:uid="{00000000-0005-0000-0000-000064000000}"/>
    <cellStyle name="Normal 4" xfId="91" xr:uid="{00000000-0005-0000-0000-000065000000}"/>
    <cellStyle name="Normal 4 2" xfId="92" xr:uid="{00000000-0005-0000-0000-000066000000}"/>
    <cellStyle name="Normal 4 3" xfId="93" xr:uid="{00000000-0005-0000-0000-000067000000}"/>
    <cellStyle name="Normal 4 4" xfId="94" xr:uid="{00000000-0005-0000-0000-000068000000}"/>
    <cellStyle name="Normal 4 5" xfId="95" xr:uid="{00000000-0005-0000-0000-000069000000}"/>
    <cellStyle name="Normal 4 6" xfId="96" xr:uid="{00000000-0005-0000-0000-00006A000000}"/>
    <cellStyle name="Normal 4 7" xfId="97" xr:uid="{00000000-0005-0000-0000-00006B000000}"/>
    <cellStyle name="Normal 4 8" xfId="98" xr:uid="{00000000-0005-0000-0000-00006C000000}"/>
    <cellStyle name="Normal 5" xfId="99" xr:uid="{00000000-0005-0000-0000-00006D000000}"/>
    <cellStyle name="Normal 5 2" xfId="100" xr:uid="{00000000-0005-0000-0000-00006E000000}"/>
    <cellStyle name="Normal 5 2 2" xfId="101" xr:uid="{00000000-0005-0000-0000-00006F000000}"/>
    <cellStyle name="Normal 5 3" xfId="102" xr:uid="{00000000-0005-0000-0000-000070000000}"/>
    <cellStyle name="Normal 5 3 2" xfId="103" xr:uid="{00000000-0005-0000-0000-000071000000}"/>
    <cellStyle name="Normal 5 4" xfId="104" xr:uid="{00000000-0005-0000-0000-000072000000}"/>
    <cellStyle name="Normal 5 5" xfId="105" xr:uid="{00000000-0005-0000-0000-000073000000}"/>
    <cellStyle name="Normal 5 6" xfId="106" xr:uid="{00000000-0005-0000-0000-000074000000}"/>
    <cellStyle name="Normal 5 7" xfId="107" xr:uid="{00000000-0005-0000-0000-000075000000}"/>
    <cellStyle name="Normal 5 8" xfId="108" xr:uid="{00000000-0005-0000-0000-000076000000}"/>
    <cellStyle name="Normal 6" xfId="109" xr:uid="{00000000-0005-0000-0000-000077000000}"/>
    <cellStyle name="Normal 6 2" xfId="110" xr:uid="{00000000-0005-0000-0000-000078000000}"/>
    <cellStyle name="Normal 6 2 2" xfId="111" xr:uid="{00000000-0005-0000-0000-000079000000}"/>
    <cellStyle name="Normal 6 2 2 2" xfId="112" xr:uid="{00000000-0005-0000-0000-00007A000000}"/>
    <cellStyle name="Normal 6 2 2 2 2" xfId="113" xr:uid="{00000000-0005-0000-0000-00007B000000}"/>
    <cellStyle name="Normal 6 2 2 2 2 2" xfId="114" xr:uid="{00000000-0005-0000-0000-00007C000000}"/>
    <cellStyle name="Normal 6 2 2 2 3" xfId="115" xr:uid="{00000000-0005-0000-0000-00007D000000}"/>
    <cellStyle name="Normal 6 2 2 3" xfId="116" xr:uid="{00000000-0005-0000-0000-00007E000000}"/>
    <cellStyle name="Normal 6 2 2 3 2" xfId="117" xr:uid="{00000000-0005-0000-0000-00007F000000}"/>
    <cellStyle name="Normal 6 2 3" xfId="118" xr:uid="{00000000-0005-0000-0000-000080000000}"/>
    <cellStyle name="Normal 6 2 4" xfId="119" xr:uid="{00000000-0005-0000-0000-000081000000}"/>
    <cellStyle name="Normal 6 2 4 2" xfId="120" xr:uid="{00000000-0005-0000-0000-000082000000}"/>
    <cellStyle name="Normal 6 2 5" xfId="121" xr:uid="{00000000-0005-0000-0000-000083000000}"/>
    <cellStyle name="Normal 6 3" xfId="122" xr:uid="{00000000-0005-0000-0000-000084000000}"/>
    <cellStyle name="Normal 6 3 2" xfId="123" xr:uid="{00000000-0005-0000-0000-000085000000}"/>
    <cellStyle name="Normal 6 3 2 2" xfId="124" xr:uid="{00000000-0005-0000-0000-000086000000}"/>
    <cellStyle name="Normal 6 3 2 2 2" xfId="125" xr:uid="{00000000-0005-0000-0000-000087000000}"/>
    <cellStyle name="Normal 6 3 2 3" xfId="126" xr:uid="{00000000-0005-0000-0000-000088000000}"/>
    <cellStyle name="Normal 6 3 3" xfId="127" xr:uid="{00000000-0005-0000-0000-000089000000}"/>
    <cellStyle name="Normal 6 3 3 2" xfId="128" xr:uid="{00000000-0005-0000-0000-00008A000000}"/>
    <cellStyle name="Normal 6 4" xfId="129" xr:uid="{00000000-0005-0000-0000-00008B000000}"/>
    <cellStyle name="Normal 6 4 2" xfId="130" xr:uid="{00000000-0005-0000-0000-00008C000000}"/>
    <cellStyle name="Normal 6 5" xfId="131" xr:uid="{00000000-0005-0000-0000-00008D000000}"/>
    <cellStyle name="Normal 6 6" xfId="132" xr:uid="{00000000-0005-0000-0000-00008E000000}"/>
    <cellStyle name="Normal 7" xfId="133" xr:uid="{00000000-0005-0000-0000-00008F000000}"/>
    <cellStyle name="Normal 7 2" xfId="134" xr:uid="{00000000-0005-0000-0000-000090000000}"/>
    <cellStyle name="Normal 7 3" xfId="135" xr:uid="{00000000-0005-0000-0000-000091000000}"/>
    <cellStyle name="Normal 7 4" xfId="136" xr:uid="{00000000-0005-0000-0000-000092000000}"/>
    <cellStyle name="Normal 7 5" xfId="137" xr:uid="{00000000-0005-0000-0000-000093000000}"/>
    <cellStyle name="Normal 8" xfId="138" xr:uid="{00000000-0005-0000-0000-000094000000}"/>
    <cellStyle name="Normal 8 2" xfId="139" xr:uid="{00000000-0005-0000-0000-000095000000}"/>
    <cellStyle name="Normal 8 2 2" xfId="140" xr:uid="{00000000-0005-0000-0000-000096000000}"/>
    <cellStyle name="Normal 8 2 2 2" xfId="141" xr:uid="{00000000-0005-0000-0000-000097000000}"/>
    <cellStyle name="Normal 8 2 3" xfId="142" xr:uid="{00000000-0005-0000-0000-000098000000}"/>
    <cellStyle name="Normal 8 3" xfId="143" xr:uid="{00000000-0005-0000-0000-000099000000}"/>
    <cellStyle name="Normal 8 3 2" xfId="144" xr:uid="{00000000-0005-0000-0000-00009A000000}"/>
    <cellStyle name="Normal 9" xfId="145" xr:uid="{00000000-0005-0000-0000-00009B000000}"/>
    <cellStyle name="Normal 9 2" xfId="146" xr:uid="{00000000-0005-0000-0000-00009C000000}"/>
    <cellStyle name="Normal 9 3" xfId="147" xr:uid="{00000000-0005-0000-0000-00009D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1"/>
  <sheetViews>
    <sheetView tabSelected="1" workbookViewId="0">
      <selection activeCell="P24" sqref="P24"/>
    </sheetView>
  </sheetViews>
  <sheetFormatPr defaultRowHeight="15" x14ac:dyDescent="0.25"/>
  <cols>
    <col min="2" max="2" width="26.140625" customWidth="1"/>
    <col min="3" max="3" width="12.28515625" customWidth="1"/>
    <col min="4" max="4" width="26.28515625" customWidth="1"/>
    <col min="5" max="5" width="12.140625" customWidth="1"/>
    <col min="6" max="6" width="27.85546875" customWidth="1"/>
    <col min="7" max="7" width="12" customWidth="1"/>
    <col min="8" max="8" width="27" customWidth="1"/>
    <col min="10" max="10" width="10.42578125" customWidth="1"/>
    <col min="19" max="20" width="8.85546875" style="87"/>
    <col min="21" max="21" width="12.28515625" customWidth="1"/>
  </cols>
  <sheetData>
    <row r="2" spans="1:21" x14ac:dyDescent="0.25">
      <c r="B2" s="5" t="s">
        <v>526</v>
      </c>
    </row>
    <row r="3" spans="1:21" x14ac:dyDescent="0.25">
      <c r="B3" s="6" t="s">
        <v>527</v>
      </c>
    </row>
    <row r="5" spans="1:21" ht="15.75" x14ac:dyDescent="0.25">
      <c r="A5" s="7" t="s">
        <v>0</v>
      </c>
    </row>
    <row r="7" spans="1:21" ht="76.5" x14ac:dyDescent="0.25">
      <c r="A7" s="372" t="s">
        <v>1</v>
      </c>
      <c r="B7" s="373" t="s">
        <v>2</v>
      </c>
      <c r="C7" s="372" t="s">
        <v>3</v>
      </c>
      <c r="D7" s="372"/>
      <c r="E7" s="372"/>
      <c r="F7" s="9" t="s">
        <v>4</v>
      </c>
      <c r="G7" s="9" t="s">
        <v>5</v>
      </c>
      <c r="H7" s="9" t="s">
        <v>6</v>
      </c>
      <c r="I7" s="8" t="s">
        <v>7</v>
      </c>
      <c r="J7" s="372" t="s">
        <v>8</v>
      </c>
      <c r="K7" s="372"/>
      <c r="L7" s="372" t="s">
        <v>9</v>
      </c>
      <c r="M7" s="372"/>
      <c r="N7" s="372" t="s">
        <v>10</v>
      </c>
      <c r="O7" s="372"/>
      <c r="P7" s="46" t="s">
        <v>11</v>
      </c>
      <c r="Q7" s="372" t="s">
        <v>12</v>
      </c>
      <c r="R7" s="372"/>
      <c r="S7" s="156" t="s">
        <v>180</v>
      </c>
      <c r="T7" s="156" t="s">
        <v>112</v>
      </c>
      <c r="U7" s="371" t="s">
        <v>13</v>
      </c>
    </row>
    <row r="8" spans="1:21" ht="25.5" x14ac:dyDescent="0.25">
      <c r="A8" s="372"/>
      <c r="B8" s="374"/>
      <c r="C8" s="9" t="s">
        <v>14</v>
      </c>
      <c r="D8" s="9" t="s">
        <v>15</v>
      </c>
      <c r="E8" s="9" t="s">
        <v>16</v>
      </c>
      <c r="F8" s="9" t="s">
        <v>17</v>
      </c>
      <c r="G8" s="9" t="s">
        <v>16</v>
      </c>
      <c r="H8" s="9" t="s">
        <v>18</v>
      </c>
      <c r="I8" s="9" t="s">
        <v>19</v>
      </c>
      <c r="J8" s="9" t="s">
        <v>20</v>
      </c>
      <c r="K8" s="9" t="s">
        <v>16</v>
      </c>
      <c r="L8" s="9" t="s">
        <v>21</v>
      </c>
      <c r="M8" s="10" t="s">
        <v>16</v>
      </c>
      <c r="N8" s="10" t="s">
        <v>22</v>
      </c>
      <c r="O8" s="10" t="s">
        <v>16</v>
      </c>
      <c r="P8" s="9" t="s">
        <v>23</v>
      </c>
      <c r="Q8" s="9" t="s">
        <v>21</v>
      </c>
      <c r="R8" s="9" t="s">
        <v>16</v>
      </c>
      <c r="S8" s="156" t="s">
        <v>296</v>
      </c>
      <c r="T8" s="156" t="s">
        <v>297</v>
      </c>
      <c r="U8" s="371"/>
    </row>
    <row r="10" spans="1:21" x14ac:dyDescent="0.25">
      <c r="A10" s="111" t="s">
        <v>24</v>
      </c>
      <c r="B10" s="111"/>
    </row>
    <row r="11" spans="1:21" x14ac:dyDescent="0.25">
      <c r="A11" s="239">
        <v>1</v>
      </c>
      <c r="B11" s="240" t="s">
        <v>210</v>
      </c>
      <c r="C11" s="241">
        <v>6.6</v>
      </c>
      <c r="D11" s="239">
        <v>100</v>
      </c>
      <c r="E11" s="239">
        <v>10</v>
      </c>
      <c r="F11" s="239">
        <v>9</v>
      </c>
      <c r="G11" s="239">
        <v>9</v>
      </c>
      <c r="H11" s="242">
        <v>89</v>
      </c>
      <c r="I11" s="239">
        <v>198</v>
      </c>
      <c r="J11" s="239">
        <v>755</v>
      </c>
      <c r="K11" s="239">
        <v>9</v>
      </c>
      <c r="L11" s="243">
        <v>12.83</v>
      </c>
      <c r="M11" s="239">
        <v>6</v>
      </c>
      <c r="N11" s="243">
        <v>51.6</v>
      </c>
      <c r="O11" s="242">
        <v>8</v>
      </c>
      <c r="P11" s="239">
        <v>66</v>
      </c>
      <c r="Q11" s="243">
        <v>64.959999999999994</v>
      </c>
      <c r="R11" s="239">
        <v>5</v>
      </c>
      <c r="S11" s="239" t="s">
        <v>387</v>
      </c>
      <c r="T11" s="239" t="s">
        <v>343</v>
      </c>
      <c r="U11" s="244">
        <f>SUM(E11+F11+K11+M11+O11+R11)</f>
        <v>47</v>
      </c>
    </row>
    <row r="12" spans="1:21" x14ac:dyDescent="0.25">
      <c r="A12" s="12">
        <v>2</v>
      </c>
      <c r="B12" s="11" t="s">
        <v>25</v>
      </c>
      <c r="C12" s="13">
        <v>8.69</v>
      </c>
      <c r="D12" s="14">
        <f>(C12*D11)/C11</f>
        <v>131.66666666666669</v>
      </c>
      <c r="E12" s="12">
        <v>16</v>
      </c>
      <c r="F12" s="12">
        <v>9</v>
      </c>
      <c r="G12" s="12">
        <v>9</v>
      </c>
      <c r="H12" s="12">
        <v>82</v>
      </c>
      <c r="I12" s="12">
        <v>201</v>
      </c>
      <c r="J12" s="310">
        <v>775</v>
      </c>
      <c r="K12" s="12">
        <v>9</v>
      </c>
      <c r="L12" s="31">
        <v>10.82</v>
      </c>
      <c r="M12" s="12">
        <v>4</v>
      </c>
      <c r="N12" s="12">
        <v>48.3</v>
      </c>
      <c r="O12" s="12">
        <v>7</v>
      </c>
      <c r="P12" s="4">
        <v>92</v>
      </c>
      <c r="Q12" s="31">
        <v>69.069999999999993</v>
      </c>
      <c r="R12" s="12">
        <v>9</v>
      </c>
      <c r="S12" s="156" t="s">
        <v>339</v>
      </c>
      <c r="T12" s="156" t="s">
        <v>343</v>
      </c>
      <c r="U12" s="23">
        <f>SUM(E12+F12+K12+M12+O12+R12)</f>
        <v>54</v>
      </c>
    </row>
    <row r="13" spans="1:21" x14ac:dyDescent="0.25">
      <c r="Q13" s="142"/>
    </row>
    <row r="14" spans="1:21" x14ac:dyDescent="0.25">
      <c r="A14" s="99" t="s">
        <v>64</v>
      </c>
      <c r="Q14" s="142"/>
    </row>
    <row r="15" spans="1:21" x14ac:dyDescent="0.25">
      <c r="A15" s="239">
        <v>1</v>
      </c>
      <c r="B15" s="240" t="s">
        <v>210</v>
      </c>
      <c r="C15" s="241">
        <v>5.54</v>
      </c>
      <c r="D15" s="239">
        <v>100</v>
      </c>
      <c r="E15" s="239">
        <v>10</v>
      </c>
      <c r="F15" s="239">
        <v>9</v>
      </c>
      <c r="G15" s="239">
        <v>9</v>
      </c>
      <c r="H15" s="242">
        <v>82</v>
      </c>
      <c r="I15" s="239">
        <v>201</v>
      </c>
      <c r="J15" s="239">
        <v>721</v>
      </c>
      <c r="K15" s="239">
        <v>7</v>
      </c>
      <c r="L15" s="243">
        <v>13.27</v>
      </c>
      <c r="M15" s="239">
        <v>7</v>
      </c>
      <c r="N15" s="243">
        <v>42.33</v>
      </c>
      <c r="O15" s="242">
        <v>5</v>
      </c>
      <c r="P15" s="239">
        <v>75</v>
      </c>
      <c r="Q15" s="243">
        <v>64.209999999999994</v>
      </c>
      <c r="R15" s="239">
        <v>5</v>
      </c>
      <c r="S15" s="239" t="s">
        <v>339</v>
      </c>
      <c r="T15" s="239" t="s">
        <v>336</v>
      </c>
      <c r="U15" s="244">
        <f>SUM(E15+F15+K15+M15+O15+R15)</f>
        <v>43</v>
      </c>
    </row>
    <row r="16" spans="1:21" x14ac:dyDescent="0.25">
      <c r="A16" s="35">
        <v>2</v>
      </c>
      <c r="B16" s="34" t="s">
        <v>25</v>
      </c>
      <c r="C16" s="30">
        <v>5.83</v>
      </c>
      <c r="D16" s="22">
        <f>(C16*D15)/C15</f>
        <v>105.23465703971119</v>
      </c>
      <c r="E16" s="35">
        <v>10</v>
      </c>
      <c r="F16" s="35">
        <v>9</v>
      </c>
      <c r="G16" s="35">
        <v>8</v>
      </c>
      <c r="H16" s="35">
        <v>71</v>
      </c>
      <c r="I16" s="35">
        <v>199</v>
      </c>
      <c r="J16" s="310">
        <v>727</v>
      </c>
      <c r="K16" s="35">
        <v>7</v>
      </c>
      <c r="L16" s="31">
        <v>12.19</v>
      </c>
      <c r="M16" s="35">
        <v>6</v>
      </c>
      <c r="N16" s="31">
        <v>38.04</v>
      </c>
      <c r="O16" s="35">
        <v>4</v>
      </c>
      <c r="P16" s="310">
        <v>71</v>
      </c>
      <c r="Q16" s="31">
        <v>68.12</v>
      </c>
      <c r="R16" s="35">
        <v>9</v>
      </c>
      <c r="S16" s="156" t="s">
        <v>371</v>
      </c>
      <c r="T16" s="156" t="s">
        <v>336</v>
      </c>
      <c r="U16" s="23">
        <f>SUM(E16+F16+K16+M16+O16+R16)</f>
        <v>45</v>
      </c>
    </row>
    <row r="17" spans="1:21" x14ac:dyDescent="0.25">
      <c r="Q17" s="142"/>
    </row>
    <row r="18" spans="1:21" x14ac:dyDescent="0.25">
      <c r="A18" s="99" t="s">
        <v>291</v>
      </c>
      <c r="Q18" s="142"/>
    </row>
    <row r="19" spans="1:21" x14ac:dyDescent="0.25">
      <c r="A19" s="239">
        <v>1</v>
      </c>
      <c r="B19" s="240" t="s">
        <v>210</v>
      </c>
      <c r="C19" s="241">
        <v>6.58</v>
      </c>
      <c r="D19" s="242">
        <v>100</v>
      </c>
      <c r="E19" s="242">
        <v>10</v>
      </c>
      <c r="F19" s="239">
        <v>8</v>
      </c>
      <c r="G19" s="239">
        <v>9</v>
      </c>
      <c r="H19" s="242">
        <v>85</v>
      </c>
      <c r="I19" s="239">
        <v>211</v>
      </c>
      <c r="J19" s="242">
        <v>757</v>
      </c>
      <c r="K19" s="242">
        <v>9</v>
      </c>
      <c r="L19" s="243">
        <v>14.79</v>
      </c>
      <c r="M19" s="242">
        <v>8</v>
      </c>
      <c r="N19" s="243">
        <v>49.5</v>
      </c>
      <c r="O19" s="242">
        <v>7</v>
      </c>
      <c r="P19" s="242">
        <v>88</v>
      </c>
      <c r="Q19" s="243">
        <v>61.6</v>
      </c>
      <c r="R19" s="242">
        <v>2</v>
      </c>
      <c r="S19" s="241" t="s">
        <v>344</v>
      </c>
      <c r="T19" s="241" t="s">
        <v>343</v>
      </c>
      <c r="U19" s="244">
        <v>2</v>
      </c>
    </row>
    <row r="20" spans="1:21" x14ac:dyDescent="0.25">
      <c r="A20" s="16">
        <v>2</v>
      </c>
      <c r="B20" s="15" t="s">
        <v>211</v>
      </c>
      <c r="C20" s="17">
        <v>7.67</v>
      </c>
      <c r="D20" s="22">
        <f>(C20*D19)/C19</f>
        <v>116.56534954407294</v>
      </c>
      <c r="E20" s="16">
        <v>14</v>
      </c>
      <c r="F20" s="16">
        <v>9</v>
      </c>
      <c r="G20" s="16">
        <v>8</v>
      </c>
      <c r="H20" s="16">
        <v>74</v>
      </c>
      <c r="I20" s="16">
        <v>208</v>
      </c>
      <c r="J20" s="310">
        <v>773</v>
      </c>
      <c r="K20" s="16">
        <v>9</v>
      </c>
      <c r="L20" s="31">
        <v>12.46</v>
      </c>
      <c r="M20" s="16">
        <v>6</v>
      </c>
      <c r="N20" s="16">
        <v>47.6</v>
      </c>
      <c r="O20" s="16">
        <v>7</v>
      </c>
      <c r="P20" s="22">
        <v>92</v>
      </c>
      <c r="Q20" s="31">
        <v>67.73</v>
      </c>
      <c r="R20" s="16">
        <v>8</v>
      </c>
      <c r="S20" s="156" t="s">
        <v>336</v>
      </c>
      <c r="T20" s="156" t="s">
        <v>343</v>
      </c>
      <c r="U20" s="18">
        <f>SUM(E20+F20+K20+M20+O20+R20)</f>
        <v>53</v>
      </c>
    </row>
    <row r="21" spans="1:21" x14ac:dyDescent="0.25">
      <c r="Q21" s="142"/>
    </row>
    <row r="22" spans="1:21" x14ac:dyDescent="0.25">
      <c r="A22" s="111" t="s">
        <v>293</v>
      </c>
      <c r="Q22" s="142"/>
    </row>
    <row r="23" spans="1:21" x14ac:dyDescent="0.25">
      <c r="A23" s="239">
        <v>1</v>
      </c>
      <c r="B23" s="240" t="s">
        <v>210</v>
      </c>
      <c r="C23" s="241">
        <f>(C11+C15+C19)/3</f>
        <v>6.2399999999999993</v>
      </c>
      <c r="D23" s="239">
        <v>100</v>
      </c>
      <c r="E23" s="239">
        <v>10</v>
      </c>
      <c r="F23" s="242">
        <f>(F11+F15+F19)/3</f>
        <v>8.6666666666666661</v>
      </c>
      <c r="G23" s="242">
        <f>(G11+G15+G19)/3</f>
        <v>9</v>
      </c>
      <c r="H23" s="242">
        <f>(H11+H15+H19)/3</f>
        <v>85.333333333333329</v>
      </c>
      <c r="I23" s="245">
        <f>(I11+I15+I19)/3</f>
        <v>203.33333333333334</v>
      </c>
      <c r="J23" s="242">
        <f>(J11+J15+J19)/3</f>
        <v>744.33333333333337</v>
      </c>
      <c r="K23" s="239">
        <v>8</v>
      </c>
      <c r="L23" s="243">
        <f>(L11+L15)/2</f>
        <v>13.05</v>
      </c>
      <c r="M23" s="239">
        <v>7</v>
      </c>
      <c r="N23" s="243">
        <f>(N11+N15)/2</f>
        <v>46.965000000000003</v>
      </c>
      <c r="O23" s="242">
        <v>7</v>
      </c>
      <c r="P23" s="242">
        <f>(P11+P15)/2</f>
        <v>70.5</v>
      </c>
      <c r="Q23" s="243">
        <f>(Q11+Q15)/2</f>
        <v>64.584999999999994</v>
      </c>
      <c r="R23" s="239">
        <v>5</v>
      </c>
      <c r="S23" s="239"/>
      <c r="T23" s="239"/>
      <c r="U23" s="244">
        <f>SUM(E23+F23+K23+M23+O23+R23)</f>
        <v>45.666666666666664</v>
      </c>
    </row>
    <row r="24" spans="1:21" x14ac:dyDescent="0.25">
      <c r="A24" s="21">
        <v>2</v>
      </c>
      <c r="B24" s="20" t="s">
        <v>25</v>
      </c>
      <c r="C24" s="19">
        <f>(C12+C16+C20)/3</f>
        <v>7.3966666666666656</v>
      </c>
      <c r="D24" s="22">
        <f>(C24*D23)/C23</f>
        <v>118.53632478632477</v>
      </c>
      <c r="E24" s="21">
        <v>14</v>
      </c>
      <c r="F24" s="2">
        <f>(F12+F16+F20)/3</f>
        <v>9</v>
      </c>
      <c r="G24" s="2">
        <f t="shared" ref="G24:Q24" si="0">(G12+G16+G20)/3</f>
        <v>8.3333333333333339</v>
      </c>
      <c r="H24" s="2">
        <f t="shared" si="0"/>
        <v>75.666666666666671</v>
      </c>
      <c r="I24" s="109">
        <f t="shared" si="0"/>
        <v>202.66666666666666</v>
      </c>
      <c r="J24" s="2">
        <f t="shared" si="0"/>
        <v>758.33333333333337</v>
      </c>
      <c r="K24" s="21">
        <v>9</v>
      </c>
      <c r="L24" s="1">
        <f t="shared" si="0"/>
        <v>11.823333333333332</v>
      </c>
      <c r="M24" s="21">
        <v>5</v>
      </c>
      <c r="N24" s="1">
        <f t="shared" si="0"/>
        <v>44.646666666666668</v>
      </c>
      <c r="O24" s="21">
        <v>6</v>
      </c>
      <c r="P24" s="2">
        <f t="shared" si="0"/>
        <v>85</v>
      </c>
      <c r="Q24" s="1">
        <f t="shared" si="0"/>
        <v>68.306666666666672</v>
      </c>
      <c r="R24" s="21">
        <v>9</v>
      </c>
      <c r="S24" s="156"/>
      <c r="T24" s="156"/>
      <c r="U24" s="23">
        <f>SUM(E24+F24+K24+M24+O24+R24)</f>
        <v>52</v>
      </c>
    </row>
    <row r="26" spans="1:21" x14ac:dyDescent="0.25">
      <c r="B26" s="367" t="s">
        <v>104</v>
      </c>
      <c r="C26" s="367"/>
      <c r="D26" s="367"/>
      <c r="E26" s="367"/>
      <c r="F26" s="367"/>
      <c r="G26" s="367"/>
      <c r="H26" s="367"/>
    </row>
    <row r="27" spans="1:21" x14ac:dyDescent="0.25">
      <c r="B27" s="123" t="s">
        <v>307</v>
      </c>
      <c r="C27" s="363" t="s">
        <v>139</v>
      </c>
      <c r="D27" s="364"/>
      <c r="E27" s="363" t="s">
        <v>135</v>
      </c>
      <c r="F27" s="364"/>
      <c r="G27" s="357" t="s">
        <v>118</v>
      </c>
      <c r="H27" s="364"/>
    </row>
    <row r="28" spans="1:21" x14ac:dyDescent="0.25">
      <c r="B28" s="124" t="s">
        <v>106</v>
      </c>
      <c r="C28" s="368"/>
      <c r="D28" s="369"/>
      <c r="E28" s="369"/>
      <c r="F28" s="369"/>
      <c r="G28" s="369"/>
      <c r="H28" s="370"/>
    </row>
    <row r="29" spans="1:21" s="215" customFormat="1" ht="15" customHeight="1" x14ac:dyDescent="0.15">
      <c r="B29" s="214" t="s">
        <v>249</v>
      </c>
      <c r="C29" s="348" t="s">
        <v>188</v>
      </c>
      <c r="D29" s="348"/>
      <c r="E29" s="347" t="s">
        <v>255</v>
      </c>
      <c r="F29" s="347"/>
      <c r="G29" s="347" t="s">
        <v>248</v>
      </c>
      <c r="H29" s="347"/>
    </row>
    <row r="30" spans="1:21" s="215" customFormat="1" ht="15" customHeight="1" x14ac:dyDescent="0.15">
      <c r="B30" s="214" t="s">
        <v>119</v>
      </c>
      <c r="C30" s="351"/>
      <c r="D30" s="352"/>
      <c r="E30" s="349" t="s">
        <v>173</v>
      </c>
      <c r="F30" s="350"/>
      <c r="G30" s="349" t="s">
        <v>250</v>
      </c>
      <c r="H30" s="350"/>
    </row>
    <row r="31" spans="1:21" x14ac:dyDescent="0.25">
      <c r="B31" s="124" t="s">
        <v>107</v>
      </c>
      <c r="C31" s="360">
        <v>1.8</v>
      </c>
      <c r="D31" s="355"/>
      <c r="E31" s="361">
        <v>2.4</v>
      </c>
      <c r="F31" s="362"/>
      <c r="G31" s="363">
        <v>2.1</v>
      </c>
      <c r="H31" s="364"/>
    </row>
    <row r="32" spans="1:21" x14ac:dyDescent="0.25">
      <c r="B32" s="124" t="s">
        <v>108</v>
      </c>
      <c r="C32" s="365">
        <v>6.6</v>
      </c>
      <c r="D32" s="366"/>
      <c r="E32" s="361">
        <v>5.5</v>
      </c>
      <c r="F32" s="362"/>
      <c r="G32" s="363">
        <v>5.0999999999999996</v>
      </c>
      <c r="H32" s="364"/>
    </row>
    <row r="33" spans="2:8" x14ac:dyDescent="0.25">
      <c r="B33" s="124" t="s">
        <v>109</v>
      </c>
      <c r="C33" s="360">
        <v>210</v>
      </c>
      <c r="D33" s="355"/>
      <c r="E33" s="361">
        <v>93</v>
      </c>
      <c r="F33" s="362"/>
      <c r="G33" s="363">
        <v>181</v>
      </c>
      <c r="H33" s="364"/>
    </row>
    <row r="34" spans="2:8" x14ac:dyDescent="0.25">
      <c r="B34" s="124" t="s">
        <v>110</v>
      </c>
      <c r="C34" s="360">
        <v>111</v>
      </c>
      <c r="D34" s="355"/>
      <c r="E34" s="361">
        <v>150</v>
      </c>
      <c r="F34" s="362"/>
      <c r="G34" s="363">
        <v>173</v>
      </c>
      <c r="H34" s="364"/>
    </row>
    <row r="35" spans="2:8" x14ac:dyDescent="0.25">
      <c r="B35" s="124" t="s">
        <v>140</v>
      </c>
      <c r="C35" s="356" t="s">
        <v>252</v>
      </c>
      <c r="D35" s="356"/>
      <c r="E35" s="356" t="s">
        <v>252</v>
      </c>
      <c r="F35" s="356"/>
      <c r="G35" s="357" t="s">
        <v>153</v>
      </c>
      <c r="H35" s="357"/>
    </row>
    <row r="36" spans="2:8" s="298" customFormat="1" x14ac:dyDescent="0.25">
      <c r="B36" s="124" t="s">
        <v>680</v>
      </c>
      <c r="C36" s="361" t="s">
        <v>681</v>
      </c>
      <c r="D36" s="356"/>
      <c r="E36" s="356"/>
      <c r="F36" s="356"/>
      <c r="G36" s="356"/>
      <c r="H36" s="356"/>
    </row>
    <row r="37" spans="2:8" x14ac:dyDescent="0.25">
      <c r="B37" s="124" t="s">
        <v>111</v>
      </c>
      <c r="C37" s="348" t="s">
        <v>405</v>
      </c>
      <c r="D37" s="348"/>
      <c r="E37" s="358" t="s">
        <v>325</v>
      </c>
      <c r="F37" s="358"/>
      <c r="G37" s="353" t="s">
        <v>346</v>
      </c>
      <c r="H37" s="353"/>
    </row>
    <row r="38" spans="2:8" x14ac:dyDescent="0.25">
      <c r="B38" s="123" t="s">
        <v>142</v>
      </c>
      <c r="C38" s="354" t="s">
        <v>528</v>
      </c>
      <c r="D38" s="355"/>
      <c r="E38" s="358" t="s">
        <v>355</v>
      </c>
      <c r="F38" s="358"/>
      <c r="G38" s="353" t="s">
        <v>532</v>
      </c>
      <c r="H38" s="353"/>
    </row>
    <row r="39" spans="2:8" x14ac:dyDescent="0.25">
      <c r="B39" s="123" t="s">
        <v>143</v>
      </c>
      <c r="C39" s="354" t="s">
        <v>529</v>
      </c>
      <c r="D39" s="355"/>
      <c r="E39" s="358" t="s">
        <v>398</v>
      </c>
      <c r="F39" s="358"/>
      <c r="G39" s="353" t="s">
        <v>533</v>
      </c>
      <c r="H39" s="353"/>
    </row>
    <row r="40" spans="2:8" x14ac:dyDescent="0.25">
      <c r="B40" s="123" t="s">
        <v>112</v>
      </c>
      <c r="C40" s="354" t="s">
        <v>347</v>
      </c>
      <c r="D40" s="355"/>
      <c r="E40" s="358" t="s">
        <v>338</v>
      </c>
      <c r="F40" s="358"/>
      <c r="G40" s="353" t="s">
        <v>347</v>
      </c>
      <c r="H40" s="353"/>
    </row>
    <row r="41" spans="2:8" x14ac:dyDescent="0.25">
      <c r="B41" s="124" t="s">
        <v>113</v>
      </c>
      <c r="C41" s="359"/>
      <c r="D41" s="359"/>
      <c r="E41" s="359"/>
      <c r="F41" s="359"/>
      <c r="G41" s="359"/>
      <c r="H41" s="359"/>
    </row>
    <row r="42" spans="2:8" x14ac:dyDescent="0.25">
      <c r="B42" s="124" t="s">
        <v>114</v>
      </c>
      <c r="C42" s="216" t="s">
        <v>325</v>
      </c>
      <c r="D42" s="177" t="s">
        <v>418</v>
      </c>
      <c r="E42" s="211" t="s">
        <v>357</v>
      </c>
      <c r="F42" s="177" t="s">
        <v>358</v>
      </c>
      <c r="G42" s="230" t="s">
        <v>348</v>
      </c>
      <c r="H42" s="207" t="s">
        <v>155</v>
      </c>
    </row>
    <row r="43" spans="2:8" x14ac:dyDescent="0.25">
      <c r="B43" s="124" t="s">
        <v>138</v>
      </c>
      <c r="C43" s="211"/>
      <c r="D43" s="177" t="s">
        <v>530</v>
      </c>
      <c r="E43" s="201"/>
      <c r="F43" s="177" t="s">
        <v>531</v>
      </c>
      <c r="G43" s="124"/>
      <c r="H43" s="207" t="s">
        <v>534</v>
      </c>
    </row>
    <row r="44" spans="2:8" x14ac:dyDescent="0.25">
      <c r="B44" s="124" t="s">
        <v>138</v>
      </c>
      <c r="C44" s="211"/>
      <c r="D44" s="177"/>
      <c r="E44" s="201"/>
      <c r="F44" s="177"/>
      <c r="G44" s="124"/>
      <c r="H44" s="207"/>
    </row>
    <row r="45" spans="2:8" x14ac:dyDescent="0.25">
      <c r="B45" s="124" t="s">
        <v>138</v>
      </c>
      <c r="C45" s="201"/>
      <c r="D45" s="210"/>
      <c r="E45" s="201"/>
      <c r="F45" s="210"/>
      <c r="G45" s="124"/>
      <c r="H45" s="207"/>
    </row>
    <row r="46" spans="2:8" x14ac:dyDescent="0.25">
      <c r="B46" s="124" t="s">
        <v>115</v>
      </c>
      <c r="C46" s="353"/>
      <c r="D46" s="353"/>
      <c r="E46" s="353"/>
      <c r="F46" s="353"/>
      <c r="G46" s="353"/>
      <c r="H46" s="353"/>
    </row>
    <row r="47" spans="2:8" x14ac:dyDescent="0.25">
      <c r="B47" s="124" t="s">
        <v>116</v>
      </c>
      <c r="C47" s="227"/>
      <c r="D47" s="227" t="s">
        <v>288</v>
      </c>
      <c r="E47" s="211" t="s">
        <v>364</v>
      </c>
      <c r="F47" s="211" t="s">
        <v>261</v>
      </c>
      <c r="G47" s="124" t="s">
        <v>394</v>
      </c>
      <c r="H47" s="124" t="s">
        <v>349</v>
      </c>
    </row>
    <row r="48" spans="2:8" x14ac:dyDescent="0.25">
      <c r="B48" s="127"/>
      <c r="C48" s="227"/>
      <c r="D48" s="227" t="s">
        <v>289</v>
      </c>
      <c r="E48" s="201"/>
      <c r="F48" s="212"/>
      <c r="G48" s="124"/>
      <c r="H48" s="213"/>
    </row>
    <row r="49" spans="2:8" s="87" customFormat="1" x14ac:dyDescent="0.25">
      <c r="B49" s="127"/>
      <c r="C49" s="227"/>
      <c r="D49" s="227" t="s">
        <v>167</v>
      </c>
      <c r="E49" s="201"/>
      <c r="F49" s="212"/>
      <c r="G49" s="124"/>
      <c r="H49" s="124"/>
    </row>
    <row r="50" spans="2:8" s="87" customFormat="1" x14ac:dyDescent="0.25">
      <c r="B50" s="124" t="s">
        <v>171</v>
      </c>
      <c r="C50" s="227"/>
      <c r="D50" s="227"/>
      <c r="E50" s="201"/>
      <c r="F50" s="212"/>
      <c r="G50" s="124"/>
      <c r="H50" s="124"/>
    </row>
    <row r="51" spans="2:8" s="87" customFormat="1" x14ac:dyDescent="0.25">
      <c r="B51" s="124"/>
      <c r="C51" s="227"/>
      <c r="D51" s="227"/>
      <c r="E51" s="201"/>
      <c r="F51" s="212"/>
      <c r="G51" s="124"/>
      <c r="H51" s="124"/>
    </row>
    <row r="52" spans="2:8" s="87" customFormat="1" x14ac:dyDescent="0.25">
      <c r="B52" s="124" t="s">
        <v>170</v>
      </c>
      <c r="C52" s="227"/>
      <c r="D52" s="227" t="s">
        <v>287</v>
      </c>
      <c r="E52" s="211" t="s">
        <v>364</v>
      </c>
      <c r="F52" s="226" t="s">
        <v>154</v>
      </c>
      <c r="G52" s="124" t="s">
        <v>390</v>
      </c>
      <c r="H52" s="113" t="s">
        <v>535</v>
      </c>
    </row>
    <row r="53" spans="2:8" s="87" customFormat="1" x14ac:dyDescent="0.25">
      <c r="B53" s="124"/>
      <c r="C53" s="227"/>
      <c r="D53" s="227"/>
      <c r="E53" s="211"/>
      <c r="F53" s="211"/>
      <c r="G53" s="124"/>
      <c r="H53" s="113"/>
    </row>
    <row r="54" spans="2:8" s="87" customFormat="1" x14ac:dyDescent="0.25">
      <c r="B54" s="124"/>
      <c r="C54" s="227"/>
      <c r="D54" s="227"/>
      <c r="E54" s="201"/>
      <c r="F54" s="212"/>
      <c r="G54" s="124"/>
      <c r="H54" s="113"/>
    </row>
    <row r="55" spans="2:8" s="87" customFormat="1" x14ac:dyDescent="0.25">
      <c r="B55" s="124" t="s">
        <v>148</v>
      </c>
      <c r="C55" s="227"/>
      <c r="D55" s="227" t="s">
        <v>169</v>
      </c>
      <c r="E55" s="222" t="s">
        <v>362</v>
      </c>
      <c r="F55" s="222" t="s">
        <v>363</v>
      </c>
      <c r="G55" s="124" t="s">
        <v>536</v>
      </c>
      <c r="H55" s="124" t="s">
        <v>350</v>
      </c>
    </row>
    <row r="56" spans="2:8" s="87" customFormat="1" x14ac:dyDescent="0.25">
      <c r="B56" s="124"/>
      <c r="C56" s="227"/>
      <c r="D56" s="227"/>
      <c r="E56" s="222"/>
      <c r="F56" s="222"/>
      <c r="G56" s="124"/>
      <c r="H56" s="124"/>
    </row>
    <row r="57" spans="2:8" s="87" customFormat="1" x14ac:dyDescent="0.25">
      <c r="B57" s="124"/>
      <c r="C57" s="227"/>
      <c r="D57" s="227"/>
      <c r="E57" s="211"/>
      <c r="F57" s="211"/>
      <c r="G57" s="124"/>
      <c r="H57" s="124"/>
    </row>
    <row r="58" spans="2:8" s="87" customFormat="1" x14ac:dyDescent="0.25">
      <c r="B58" s="124"/>
      <c r="C58" s="227"/>
      <c r="D58" s="227"/>
      <c r="E58" s="211"/>
      <c r="F58" s="211"/>
      <c r="G58" s="124"/>
      <c r="H58" s="124"/>
    </row>
    <row r="59" spans="2:8" x14ac:dyDescent="0.25">
      <c r="B59" s="124" t="s">
        <v>144</v>
      </c>
      <c r="C59" s="227"/>
      <c r="D59" s="227" t="s">
        <v>172</v>
      </c>
      <c r="E59" s="211" t="s">
        <v>362</v>
      </c>
      <c r="F59" s="211" t="s">
        <v>260</v>
      </c>
      <c r="G59" s="124"/>
      <c r="H59" s="124"/>
    </row>
    <row r="60" spans="2:8" x14ac:dyDescent="0.25">
      <c r="B60" s="127"/>
      <c r="C60" s="227"/>
      <c r="D60" s="227"/>
      <c r="G60" s="124"/>
      <c r="H60" s="124"/>
    </row>
    <row r="61" spans="2:8" x14ac:dyDescent="0.25">
      <c r="B61" s="127"/>
      <c r="C61" s="227"/>
      <c r="D61" s="227"/>
      <c r="E61" s="211"/>
      <c r="F61" s="211"/>
      <c r="G61" s="124"/>
      <c r="H61" s="124"/>
    </row>
  </sheetData>
  <mergeCells count="49">
    <mergeCell ref="U7:U8"/>
    <mergeCell ref="A7:A8"/>
    <mergeCell ref="B7:B8"/>
    <mergeCell ref="C7:E7"/>
    <mergeCell ref="J7:K7"/>
    <mergeCell ref="L7:M7"/>
    <mergeCell ref="Q7:R7"/>
    <mergeCell ref="N7:O7"/>
    <mergeCell ref="B26:H26"/>
    <mergeCell ref="C27:D27"/>
    <mergeCell ref="E27:F27"/>
    <mergeCell ref="G27:H27"/>
    <mergeCell ref="C28:H28"/>
    <mergeCell ref="C31:D31"/>
    <mergeCell ref="E31:F31"/>
    <mergeCell ref="G31:H31"/>
    <mergeCell ref="C32:D32"/>
    <mergeCell ref="E32:F32"/>
    <mergeCell ref="G32:H32"/>
    <mergeCell ref="G38:H38"/>
    <mergeCell ref="C33:D33"/>
    <mergeCell ref="E33:F33"/>
    <mergeCell ref="G33:H33"/>
    <mergeCell ref="C34:D34"/>
    <mergeCell ref="E34:F34"/>
    <mergeCell ref="G34:H34"/>
    <mergeCell ref="C36:H36"/>
    <mergeCell ref="C46:H46"/>
    <mergeCell ref="C38:D38"/>
    <mergeCell ref="C39:D39"/>
    <mergeCell ref="C40:D40"/>
    <mergeCell ref="C35:D35"/>
    <mergeCell ref="E35:F35"/>
    <mergeCell ref="G35:H35"/>
    <mergeCell ref="E39:F39"/>
    <mergeCell ref="G39:H39"/>
    <mergeCell ref="E40:F40"/>
    <mergeCell ref="G40:H40"/>
    <mergeCell ref="C41:H41"/>
    <mergeCell ref="C37:D37"/>
    <mergeCell ref="E37:F37"/>
    <mergeCell ref="G37:H37"/>
    <mergeCell ref="E38:F38"/>
    <mergeCell ref="G29:H29"/>
    <mergeCell ref="E29:F29"/>
    <mergeCell ref="C29:D29"/>
    <mergeCell ref="G30:H30"/>
    <mergeCell ref="E30:F30"/>
    <mergeCell ref="C30:D3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64"/>
  <sheetViews>
    <sheetView workbookViewId="0">
      <selection activeCell="I45" sqref="I45"/>
    </sheetView>
  </sheetViews>
  <sheetFormatPr defaultRowHeight="15" x14ac:dyDescent="0.25"/>
  <cols>
    <col min="1" max="1" width="3.7109375" customWidth="1"/>
    <col min="2" max="2" width="26.28515625" customWidth="1"/>
    <col min="3" max="3" width="12.85546875" customWidth="1"/>
    <col min="4" max="4" width="23.7109375" customWidth="1"/>
    <col min="5" max="5" width="13" customWidth="1"/>
    <col min="6" max="6" width="25" customWidth="1"/>
  </cols>
  <sheetData>
    <row r="2" spans="1:19" x14ac:dyDescent="0.25">
      <c r="B2" s="88" t="s">
        <v>464</v>
      </c>
    </row>
    <row r="3" spans="1:19" x14ac:dyDescent="0.25">
      <c r="B3" s="88" t="s">
        <v>465</v>
      </c>
    </row>
    <row r="5" spans="1:19" ht="15.75" x14ac:dyDescent="0.25">
      <c r="A5" s="89" t="s">
        <v>66</v>
      </c>
    </row>
    <row r="7" spans="1:19" ht="76.5" x14ac:dyDescent="0.25">
      <c r="A7" s="372" t="s">
        <v>1</v>
      </c>
      <c r="B7" s="372" t="s">
        <v>2</v>
      </c>
      <c r="C7" s="372" t="s">
        <v>27</v>
      </c>
      <c r="D7" s="372"/>
      <c r="E7" s="372"/>
      <c r="F7" s="90" t="s">
        <v>5</v>
      </c>
      <c r="G7" s="90" t="s">
        <v>28</v>
      </c>
      <c r="H7" s="90" t="s">
        <v>52</v>
      </c>
      <c r="I7" s="372" t="s">
        <v>8</v>
      </c>
      <c r="J7" s="372"/>
      <c r="K7" s="372" t="s">
        <v>9</v>
      </c>
      <c r="L7" s="372"/>
      <c r="M7" s="372" t="s">
        <v>10</v>
      </c>
      <c r="N7" s="372"/>
      <c r="O7" s="372" t="s">
        <v>67</v>
      </c>
      <c r="P7" s="372"/>
      <c r="Q7" s="372" t="s">
        <v>68</v>
      </c>
      <c r="R7" s="372"/>
      <c r="S7" s="371" t="s">
        <v>13</v>
      </c>
    </row>
    <row r="8" spans="1:19" ht="25.5" x14ac:dyDescent="0.25">
      <c r="A8" s="372"/>
      <c r="B8" s="372"/>
      <c r="C8" s="90" t="s">
        <v>14</v>
      </c>
      <c r="D8" s="90" t="s">
        <v>15</v>
      </c>
      <c r="E8" s="90" t="s">
        <v>16</v>
      </c>
      <c r="F8" s="90" t="s">
        <v>16</v>
      </c>
      <c r="G8" s="90" t="s">
        <v>18</v>
      </c>
      <c r="H8" s="90" t="s">
        <v>19</v>
      </c>
      <c r="I8" s="90" t="s">
        <v>20</v>
      </c>
      <c r="J8" s="90" t="s">
        <v>16</v>
      </c>
      <c r="K8" s="90" t="s">
        <v>21</v>
      </c>
      <c r="L8" s="91" t="s">
        <v>16</v>
      </c>
      <c r="M8" s="91" t="s">
        <v>22</v>
      </c>
      <c r="N8" s="91" t="s">
        <v>16</v>
      </c>
      <c r="O8" s="90" t="s">
        <v>21</v>
      </c>
      <c r="P8" s="90" t="s">
        <v>16</v>
      </c>
      <c r="Q8" s="90" t="s">
        <v>21</v>
      </c>
      <c r="R8" s="90" t="s">
        <v>16</v>
      </c>
      <c r="S8" s="371"/>
    </row>
    <row r="10" spans="1:19" s="83" customFormat="1" ht="12.75" x14ac:dyDescent="0.2">
      <c r="A10" s="111" t="s">
        <v>294</v>
      </c>
    </row>
    <row r="11" spans="1:19" s="83" customFormat="1" ht="12.75" x14ac:dyDescent="0.2">
      <c r="A11" s="254">
        <v>1</v>
      </c>
      <c r="B11" s="254" t="s">
        <v>78</v>
      </c>
      <c r="C11" s="249">
        <v>5.71</v>
      </c>
      <c r="D11" s="251">
        <v>100</v>
      </c>
      <c r="E11" s="247">
        <v>10</v>
      </c>
      <c r="F11" s="247">
        <v>9</v>
      </c>
      <c r="G11" s="247">
        <v>74</v>
      </c>
      <c r="H11" s="247">
        <v>94</v>
      </c>
      <c r="I11" s="247">
        <v>512</v>
      </c>
      <c r="J11" s="247">
        <v>7</v>
      </c>
      <c r="K11" s="250">
        <v>12.51</v>
      </c>
      <c r="L11" s="247">
        <v>6</v>
      </c>
      <c r="M11" s="247">
        <v>32.9</v>
      </c>
      <c r="N11" s="247">
        <v>6</v>
      </c>
      <c r="O11" s="250">
        <v>29.2</v>
      </c>
      <c r="P11" s="247">
        <v>4</v>
      </c>
      <c r="Q11" s="247">
        <v>5.5</v>
      </c>
      <c r="R11" s="247">
        <v>5</v>
      </c>
      <c r="S11" s="247">
        <f>SUM(E11+J11+L11+N11+P11+R11)</f>
        <v>38</v>
      </c>
    </row>
    <row r="12" spans="1:19" s="83" customFormat="1" ht="12.75" x14ac:dyDescent="0.2">
      <c r="A12" s="56">
        <v>2</v>
      </c>
      <c r="B12" s="56" t="s">
        <v>218</v>
      </c>
      <c r="C12" s="44">
        <v>5.59</v>
      </c>
      <c r="D12" s="42">
        <f>(C12*100)/C$11</f>
        <v>97.898423817863403</v>
      </c>
      <c r="E12" s="41">
        <v>10</v>
      </c>
      <c r="F12" s="41">
        <v>9</v>
      </c>
      <c r="G12" s="41">
        <v>65</v>
      </c>
      <c r="H12" s="41">
        <v>94</v>
      </c>
      <c r="I12" s="295">
        <v>513</v>
      </c>
      <c r="J12" s="41">
        <v>7</v>
      </c>
      <c r="K12" s="187">
        <v>11.68</v>
      </c>
      <c r="L12" s="41">
        <v>5</v>
      </c>
      <c r="M12" s="41">
        <v>39.200000000000003</v>
      </c>
      <c r="N12" s="41">
        <v>7</v>
      </c>
      <c r="O12" s="191">
        <v>27.2</v>
      </c>
      <c r="P12" s="41">
        <v>4</v>
      </c>
      <c r="Q12" s="190">
        <v>3.5</v>
      </c>
      <c r="R12" s="41">
        <v>2</v>
      </c>
      <c r="S12" s="49">
        <f>SUM(E12+J12+L12+N12+P12+R12)</f>
        <v>35</v>
      </c>
    </row>
    <row r="13" spans="1:19" s="83" customFormat="1" ht="12.75" x14ac:dyDescent="0.2">
      <c r="A13" s="56">
        <v>3</v>
      </c>
      <c r="B13" s="56" t="s">
        <v>466</v>
      </c>
      <c r="C13" s="44">
        <v>5.33</v>
      </c>
      <c r="D13" s="186">
        <f t="shared" ref="D13:D15" si="0">(C13*100)/C$11</f>
        <v>93.345008756567424</v>
      </c>
      <c r="E13" s="295">
        <v>8</v>
      </c>
      <c r="F13" s="295">
        <v>9</v>
      </c>
      <c r="G13" s="295">
        <v>65</v>
      </c>
      <c r="H13" s="295">
        <v>94</v>
      </c>
      <c r="I13" s="295">
        <v>536</v>
      </c>
      <c r="J13" s="295">
        <v>9</v>
      </c>
      <c r="K13" s="187">
        <v>12.12</v>
      </c>
      <c r="L13" s="295">
        <v>6</v>
      </c>
      <c r="M13" s="295">
        <v>32.200000000000003</v>
      </c>
      <c r="N13" s="295">
        <v>6</v>
      </c>
      <c r="O13" s="191">
        <v>29.2</v>
      </c>
      <c r="P13" s="295">
        <v>4</v>
      </c>
      <c r="Q13" s="190">
        <v>5.2</v>
      </c>
      <c r="R13" s="295">
        <v>5</v>
      </c>
      <c r="S13" s="190">
        <f t="shared" ref="S13:S15" si="1">SUM(E13+J13+L13+N13+P13+R13)</f>
        <v>38</v>
      </c>
    </row>
    <row r="14" spans="1:19" s="83" customFormat="1" ht="12.75" x14ac:dyDescent="0.2">
      <c r="A14" s="56">
        <v>4</v>
      </c>
      <c r="B14" s="56" t="s">
        <v>467</v>
      </c>
      <c r="C14" s="44">
        <v>6.47</v>
      </c>
      <c r="D14" s="186">
        <f t="shared" si="0"/>
        <v>113.30998248686515</v>
      </c>
      <c r="E14" s="295">
        <v>12</v>
      </c>
      <c r="F14" s="295">
        <v>9</v>
      </c>
      <c r="G14" s="295">
        <v>72</v>
      </c>
      <c r="H14" s="295">
        <v>94</v>
      </c>
      <c r="I14" s="295">
        <v>522</v>
      </c>
      <c r="J14" s="295">
        <v>8</v>
      </c>
      <c r="K14" s="187">
        <v>11.39</v>
      </c>
      <c r="L14" s="295">
        <v>5</v>
      </c>
      <c r="M14" s="295">
        <v>41.9</v>
      </c>
      <c r="N14" s="295">
        <v>8</v>
      </c>
      <c r="O14" s="191">
        <v>29.6</v>
      </c>
      <c r="P14" s="295">
        <v>4</v>
      </c>
      <c r="Q14" s="190">
        <v>3.7</v>
      </c>
      <c r="R14" s="295">
        <v>2</v>
      </c>
      <c r="S14" s="190">
        <f t="shared" si="1"/>
        <v>39</v>
      </c>
    </row>
    <row r="15" spans="1:19" s="83" customFormat="1" ht="12.75" x14ac:dyDescent="0.2">
      <c r="A15" s="56">
        <v>5</v>
      </c>
      <c r="B15" s="56" t="s">
        <v>468</v>
      </c>
      <c r="C15" s="44">
        <v>6.3</v>
      </c>
      <c r="D15" s="186">
        <f t="shared" si="0"/>
        <v>110.33274956217163</v>
      </c>
      <c r="E15" s="41">
        <v>12</v>
      </c>
      <c r="F15" s="41">
        <v>9</v>
      </c>
      <c r="G15" s="41">
        <v>69</v>
      </c>
      <c r="H15" s="41">
        <v>94</v>
      </c>
      <c r="I15" s="295">
        <v>525</v>
      </c>
      <c r="J15" s="41">
        <v>8</v>
      </c>
      <c r="K15" s="187">
        <v>11.03</v>
      </c>
      <c r="L15" s="41">
        <v>4</v>
      </c>
      <c r="M15" s="41">
        <v>39.1</v>
      </c>
      <c r="N15" s="41">
        <v>7</v>
      </c>
      <c r="O15" s="191">
        <v>28</v>
      </c>
      <c r="P15" s="41">
        <v>4</v>
      </c>
      <c r="Q15" s="190">
        <v>4.2</v>
      </c>
      <c r="R15" s="41">
        <v>3</v>
      </c>
      <c r="S15" s="190">
        <f t="shared" si="1"/>
        <v>38</v>
      </c>
    </row>
    <row r="16" spans="1:19" s="83" customFormat="1" ht="12.75" x14ac:dyDescent="0.2"/>
    <row r="17" spans="1:19" s="83" customFormat="1" ht="12.75" x14ac:dyDescent="0.2">
      <c r="A17" s="111" t="s">
        <v>295</v>
      </c>
    </row>
    <row r="18" spans="1:19" s="83" customFormat="1" ht="12.75" x14ac:dyDescent="0.2">
      <c r="A18" s="254">
        <v>1</v>
      </c>
      <c r="B18" s="254" t="s">
        <v>78</v>
      </c>
      <c r="C18" s="247">
        <v>4.67</v>
      </c>
      <c r="D18" s="251">
        <v>100</v>
      </c>
      <c r="E18" s="247">
        <v>10</v>
      </c>
      <c r="F18" s="247">
        <v>9</v>
      </c>
      <c r="G18" s="247">
        <v>91</v>
      </c>
      <c r="H18" s="247">
        <v>100</v>
      </c>
      <c r="I18" s="247">
        <v>524</v>
      </c>
      <c r="J18" s="247">
        <v>8</v>
      </c>
      <c r="K18" s="250">
        <v>14.23</v>
      </c>
      <c r="L18" s="247">
        <v>7</v>
      </c>
      <c r="M18" s="247">
        <v>36.299999999999997</v>
      </c>
      <c r="N18" s="247">
        <v>7</v>
      </c>
      <c r="O18" s="250">
        <v>27.4</v>
      </c>
      <c r="P18" s="247">
        <v>4</v>
      </c>
      <c r="Q18" s="247">
        <v>5.8</v>
      </c>
      <c r="R18" s="247">
        <v>6</v>
      </c>
      <c r="S18" s="247">
        <f>SUM(E18+J18+L18+N18+P18+R18)</f>
        <v>42</v>
      </c>
    </row>
    <row r="19" spans="1:19" s="83" customFormat="1" ht="12.75" x14ac:dyDescent="0.2">
      <c r="A19" s="56">
        <v>2</v>
      </c>
      <c r="B19" s="56" t="s">
        <v>218</v>
      </c>
      <c r="C19" s="41">
        <v>5.39</v>
      </c>
      <c r="D19" s="42">
        <f>(C19*100)/C$18</f>
        <v>115.41755888650964</v>
      </c>
      <c r="E19" s="41">
        <v>12</v>
      </c>
      <c r="F19" s="41">
        <v>9</v>
      </c>
      <c r="G19" s="41">
        <v>97</v>
      </c>
      <c r="H19" s="41">
        <v>100</v>
      </c>
      <c r="I19" s="295">
        <v>535</v>
      </c>
      <c r="J19" s="41">
        <v>8</v>
      </c>
      <c r="K19" s="187">
        <v>12.82</v>
      </c>
      <c r="L19" s="41">
        <v>6</v>
      </c>
      <c r="M19" s="41">
        <v>43.7</v>
      </c>
      <c r="N19" s="41">
        <v>8</v>
      </c>
      <c r="O19" s="191">
        <v>28.8</v>
      </c>
      <c r="P19" s="41">
        <v>4</v>
      </c>
      <c r="Q19" s="191">
        <v>4</v>
      </c>
      <c r="R19" s="41">
        <v>2</v>
      </c>
      <c r="S19" s="49">
        <f>SUM(E19+J19+L19+N19+P19+R19)</f>
        <v>40</v>
      </c>
    </row>
    <row r="20" spans="1:19" s="83" customFormat="1" ht="12.75" x14ac:dyDescent="0.2">
      <c r="A20" s="56">
        <v>3</v>
      </c>
      <c r="B20" s="56" t="s">
        <v>466</v>
      </c>
      <c r="C20" s="295">
        <v>5.37</v>
      </c>
      <c r="D20" s="186">
        <f t="shared" ref="D20:D23" si="2">(C20*100)/C$18</f>
        <v>114.98929336188436</v>
      </c>
      <c r="E20" s="295">
        <v>12</v>
      </c>
      <c r="F20" s="295">
        <v>9</v>
      </c>
      <c r="G20" s="295">
        <v>79</v>
      </c>
      <c r="H20" s="295">
        <v>100</v>
      </c>
      <c r="I20" s="295">
        <v>544</v>
      </c>
      <c r="J20" s="295">
        <v>9</v>
      </c>
      <c r="K20" s="187">
        <v>14.4</v>
      </c>
      <c r="L20" s="295">
        <v>7</v>
      </c>
      <c r="M20" s="295">
        <v>35.700000000000003</v>
      </c>
      <c r="N20" s="295">
        <v>6</v>
      </c>
      <c r="O20" s="191">
        <v>27</v>
      </c>
      <c r="P20" s="295">
        <v>4</v>
      </c>
      <c r="Q20" s="190">
        <v>5.6</v>
      </c>
      <c r="R20" s="295">
        <v>6</v>
      </c>
      <c r="S20" s="190">
        <f t="shared" ref="S20:S23" si="3">SUM(E20+J20+L20+N20+P20+R20)</f>
        <v>44</v>
      </c>
    </row>
    <row r="21" spans="1:19" s="83" customFormat="1" ht="12.75" x14ac:dyDescent="0.2">
      <c r="A21" s="56">
        <v>4</v>
      </c>
      <c r="B21" s="56" t="s">
        <v>467</v>
      </c>
      <c r="C21" s="295">
        <v>5.59</v>
      </c>
      <c r="D21" s="186">
        <f t="shared" si="2"/>
        <v>119.70021413276231</v>
      </c>
      <c r="E21" s="295">
        <v>14</v>
      </c>
      <c r="F21" s="295">
        <v>9</v>
      </c>
      <c r="G21" s="295">
        <v>80</v>
      </c>
      <c r="H21" s="295">
        <v>100</v>
      </c>
      <c r="I21" s="295">
        <v>531</v>
      </c>
      <c r="J21" s="295">
        <v>8</v>
      </c>
      <c r="K21" s="187">
        <v>13.2</v>
      </c>
      <c r="L21" s="295">
        <v>7</v>
      </c>
      <c r="M21" s="295">
        <v>46.4</v>
      </c>
      <c r="N21" s="295">
        <v>9</v>
      </c>
      <c r="O21" s="191">
        <v>26.4</v>
      </c>
      <c r="P21" s="295">
        <v>4</v>
      </c>
      <c r="Q21" s="190">
        <v>4.2</v>
      </c>
      <c r="R21" s="295">
        <v>3</v>
      </c>
      <c r="S21" s="190">
        <f t="shared" si="3"/>
        <v>45</v>
      </c>
    </row>
    <row r="22" spans="1:19" s="83" customFormat="1" ht="12.75" x14ac:dyDescent="0.2">
      <c r="A22" s="56">
        <v>5</v>
      </c>
      <c r="B22" s="56" t="s">
        <v>468</v>
      </c>
      <c r="C22" s="44">
        <v>5.88</v>
      </c>
      <c r="D22" s="186">
        <f t="shared" si="2"/>
        <v>125.9100642398287</v>
      </c>
      <c r="E22" s="295">
        <v>16</v>
      </c>
      <c r="F22" s="295">
        <v>9</v>
      </c>
      <c r="G22" s="295">
        <v>84</v>
      </c>
      <c r="H22" s="295">
        <v>100</v>
      </c>
      <c r="I22" s="295">
        <v>531</v>
      </c>
      <c r="J22" s="295">
        <v>8</v>
      </c>
      <c r="K22" s="187">
        <v>12.89</v>
      </c>
      <c r="L22" s="295">
        <v>6</v>
      </c>
      <c r="M22" s="187">
        <v>43.3</v>
      </c>
      <c r="N22" s="295">
        <v>8</v>
      </c>
      <c r="O22" s="191">
        <v>27.8</v>
      </c>
      <c r="P22" s="295">
        <v>4</v>
      </c>
      <c r="Q22" s="190">
        <v>4.5</v>
      </c>
      <c r="R22" s="295">
        <v>3</v>
      </c>
      <c r="S22" s="190">
        <f t="shared" si="3"/>
        <v>45</v>
      </c>
    </row>
    <row r="23" spans="1:19" s="83" customFormat="1" ht="12.75" x14ac:dyDescent="0.2">
      <c r="A23" s="56">
        <v>6</v>
      </c>
      <c r="B23" s="56" t="s">
        <v>471</v>
      </c>
      <c r="C23" s="44">
        <v>5.5</v>
      </c>
      <c r="D23" s="186">
        <f t="shared" si="2"/>
        <v>117.77301927194861</v>
      </c>
      <c r="E23" s="41">
        <v>14</v>
      </c>
      <c r="F23" s="41">
        <v>9</v>
      </c>
      <c r="G23" s="41">
        <v>89</v>
      </c>
      <c r="H23" s="41">
        <v>100</v>
      </c>
      <c r="I23" s="41">
        <v>527</v>
      </c>
      <c r="J23" s="41">
        <v>8</v>
      </c>
      <c r="K23" s="187">
        <v>12.75</v>
      </c>
      <c r="L23" s="41">
        <v>6</v>
      </c>
      <c r="M23" s="187">
        <v>41.6</v>
      </c>
      <c r="N23" s="41">
        <v>8</v>
      </c>
      <c r="O23" s="191">
        <v>26.4</v>
      </c>
      <c r="P23" s="41">
        <v>4</v>
      </c>
      <c r="Q23" s="190">
        <v>5.2</v>
      </c>
      <c r="R23" s="41">
        <v>5</v>
      </c>
      <c r="S23" s="190">
        <f t="shared" si="3"/>
        <v>45</v>
      </c>
    </row>
    <row r="24" spans="1:19" s="83" customFormat="1" ht="12.75" x14ac:dyDescent="0.2"/>
    <row r="25" spans="1:19" s="83" customFormat="1" ht="12.75" x14ac:dyDescent="0.2">
      <c r="A25" s="111" t="s">
        <v>293</v>
      </c>
    </row>
    <row r="26" spans="1:19" s="83" customFormat="1" ht="12.75" x14ac:dyDescent="0.2">
      <c r="A26" s="254">
        <v>1</v>
      </c>
      <c r="B26" s="254" t="s">
        <v>78</v>
      </c>
      <c r="C26" s="249">
        <f>SUM(C11+C18)/2</f>
        <v>5.1899999999999995</v>
      </c>
      <c r="D26" s="251">
        <v>100</v>
      </c>
      <c r="E26" s="247">
        <v>10</v>
      </c>
      <c r="F26" s="251">
        <f t="shared" ref="F26:I27" si="4">SUM(F11+F18)/2</f>
        <v>9</v>
      </c>
      <c r="G26" s="251">
        <f t="shared" si="4"/>
        <v>82.5</v>
      </c>
      <c r="H26" s="251">
        <f t="shared" si="4"/>
        <v>97</v>
      </c>
      <c r="I26" s="251">
        <f t="shared" si="4"/>
        <v>518</v>
      </c>
      <c r="J26" s="247">
        <v>7</v>
      </c>
      <c r="K26" s="250">
        <f>SUM(K11+K18)/2</f>
        <v>13.370000000000001</v>
      </c>
      <c r="L26" s="247">
        <v>7</v>
      </c>
      <c r="M26" s="250">
        <f>SUM(M11+M18)/2</f>
        <v>34.599999999999994</v>
      </c>
      <c r="N26" s="247">
        <v>6</v>
      </c>
      <c r="O26" s="250">
        <f>SUM(O11+O18)/2</f>
        <v>28.299999999999997</v>
      </c>
      <c r="P26" s="247">
        <v>4</v>
      </c>
      <c r="Q26" s="250">
        <f>(Q11+Q18)/2</f>
        <v>5.65</v>
      </c>
      <c r="R26" s="247">
        <v>6</v>
      </c>
      <c r="S26" s="247">
        <f>SUM(E26+J26+L26+N26+P26+R26)</f>
        <v>40</v>
      </c>
    </row>
    <row r="27" spans="1:19" s="83" customFormat="1" ht="12.75" x14ac:dyDescent="0.2">
      <c r="A27" s="56">
        <v>2</v>
      </c>
      <c r="B27" s="56" t="s">
        <v>218</v>
      </c>
      <c r="C27" s="47">
        <f>SUM(C12+C19)/2</f>
        <v>5.49</v>
      </c>
      <c r="D27" s="48">
        <f>(C27*100)/C$26</f>
        <v>105.78034682080926</v>
      </c>
      <c r="E27" s="49">
        <v>12</v>
      </c>
      <c r="F27" s="48">
        <f t="shared" si="4"/>
        <v>9</v>
      </c>
      <c r="G27" s="48">
        <f t="shared" si="4"/>
        <v>81</v>
      </c>
      <c r="H27" s="48">
        <f t="shared" si="4"/>
        <v>97</v>
      </c>
      <c r="I27" s="48">
        <f t="shared" si="4"/>
        <v>524</v>
      </c>
      <c r="J27" s="49">
        <v>8</v>
      </c>
      <c r="K27" s="50">
        <f>SUM(K12+K19)/2</f>
        <v>12.25</v>
      </c>
      <c r="L27" s="49">
        <v>6</v>
      </c>
      <c r="M27" s="50">
        <f>SUM(M12+M19)/2</f>
        <v>41.45</v>
      </c>
      <c r="N27" s="49">
        <v>8</v>
      </c>
      <c r="O27" s="191">
        <f>SUM(O12+O19)/2</f>
        <v>28</v>
      </c>
      <c r="P27" s="49">
        <v>4</v>
      </c>
      <c r="Q27" s="191">
        <f>(Q12+Q19)/2</f>
        <v>3.75</v>
      </c>
      <c r="R27" s="41">
        <v>2</v>
      </c>
      <c r="S27" s="49">
        <f>SUM(E27+J27+L27+N27+P27+R27)</f>
        <v>40</v>
      </c>
    </row>
    <row r="28" spans="1:19" s="83" customFormat="1" ht="12.75" x14ac:dyDescent="0.2">
      <c r="A28" s="56">
        <v>3</v>
      </c>
      <c r="B28" s="56" t="s">
        <v>466</v>
      </c>
      <c r="C28" s="188">
        <f t="shared" ref="C28:C30" si="5">SUM(C13+C20)/2</f>
        <v>5.35</v>
      </c>
      <c r="D28" s="189">
        <f t="shared" ref="D28:D30" si="6">(C28*100)/C$26</f>
        <v>103.08285163776495</v>
      </c>
      <c r="E28" s="190">
        <v>10</v>
      </c>
      <c r="F28" s="189">
        <f t="shared" ref="F28:I30" si="7">SUM(F13+F20)/2</f>
        <v>9</v>
      </c>
      <c r="G28" s="189">
        <f t="shared" si="7"/>
        <v>72</v>
      </c>
      <c r="H28" s="189">
        <f t="shared" si="7"/>
        <v>97</v>
      </c>
      <c r="I28" s="189">
        <f t="shared" si="7"/>
        <v>540</v>
      </c>
      <c r="J28" s="190">
        <v>9</v>
      </c>
      <c r="K28" s="191">
        <f t="shared" ref="K28:K30" si="8">SUM(K13+K20)/2</f>
        <v>13.26</v>
      </c>
      <c r="L28" s="190">
        <v>7</v>
      </c>
      <c r="M28" s="191">
        <f t="shared" ref="M28:M30" si="9">SUM(M13+M20)/2</f>
        <v>33.950000000000003</v>
      </c>
      <c r="N28" s="190">
        <v>6</v>
      </c>
      <c r="O28" s="191">
        <f t="shared" ref="O28:O30" si="10">SUM(O13+O20)/2</f>
        <v>28.1</v>
      </c>
      <c r="P28" s="190">
        <v>4</v>
      </c>
      <c r="Q28" s="191">
        <f t="shared" ref="Q28:Q30" si="11">(Q13+Q20)/2</f>
        <v>5.4</v>
      </c>
      <c r="R28" s="295">
        <v>5</v>
      </c>
      <c r="S28" s="190">
        <f t="shared" ref="S28:S30" si="12">SUM(E28+J28+L28+N28+P28+R28)</f>
        <v>41</v>
      </c>
    </row>
    <row r="29" spans="1:19" s="83" customFormat="1" ht="12.75" x14ac:dyDescent="0.2">
      <c r="A29" s="56">
        <v>4</v>
      </c>
      <c r="B29" s="56" t="s">
        <v>467</v>
      </c>
      <c r="C29" s="188">
        <f t="shared" si="5"/>
        <v>6.0299999999999994</v>
      </c>
      <c r="D29" s="189">
        <f t="shared" si="6"/>
        <v>116.18497109826589</v>
      </c>
      <c r="E29" s="190">
        <v>14</v>
      </c>
      <c r="F29" s="189">
        <f t="shared" si="7"/>
        <v>9</v>
      </c>
      <c r="G29" s="189">
        <f t="shared" si="7"/>
        <v>76</v>
      </c>
      <c r="H29" s="189">
        <f t="shared" si="7"/>
        <v>97</v>
      </c>
      <c r="I29" s="189">
        <f t="shared" si="7"/>
        <v>526.5</v>
      </c>
      <c r="J29" s="190">
        <v>8</v>
      </c>
      <c r="K29" s="191">
        <f t="shared" si="8"/>
        <v>12.295</v>
      </c>
      <c r="L29" s="190">
        <v>6</v>
      </c>
      <c r="M29" s="191">
        <f t="shared" si="9"/>
        <v>44.15</v>
      </c>
      <c r="N29" s="190">
        <v>8</v>
      </c>
      <c r="O29" s="191">
        <f t="shared" si="10"/>
        <v>28</v>
      </c>
      <c r="P29" s="190">
        <v>4</v>
      </c>
      <c r="Q29" s="191">
        <f t="shared" si="11"/>
        <v>3.95</v>
      </c>
      <c r="R29" s="295">
        <v>2</v>
      </c>
      <c r="S29" s="190">
        <f t="shared" si="12"/>
        <v>42</v>
      </c>
    </row>
    <row r="30" spans="1:19" s="83" customFormat="1" ht="12.75" x14ac:dyDescent="0.2">
      <c r="A30" s="56">
        <v>5</v>
      </c>
      <c r="B30" s="56" t="s">
        <v>468</v>
      </c>
      <c r="C30" s="188">
        <f t="shared" si="5"/>
        <v>6.09</v>
      </c>
      <c r="D30" s="189">
        <f t="shared" si="6"/>
        <v>117.34104046242776</v>
      </c>
      <c r="E30" s="49">
        <v>14</v>
      </c>
      <c r="F30" s="189">
        <f t="shared" si="7"/>
        <v>9</v>
      </c>
      <c r="G30" s="189">
        <f t="shared" si="7"/>
        <v>76.5</v>
      </c>
      <c r="H30" s="189">
        <f t="shared" si="7"/>
        <v>97</v>
      </c>
      <c r="I30" s="189">
        <f t="shared" si="7"/>
        <v>528</v>
      </c>
      <c r="J30" s="49">
        <v>8</v>
      </c>
      <c r="K30" s="191">
        <f t="shared" si="8"/>
        <v>11.96</v>
      </c>
      <c r="L30" s="49">
        <v>5</v>
      </c>
      <c r="M30" s="191">
        <f t="shared" si="9"/>
        <v>41.2</v>
      </c>
      <c r="N30" s="49">
        <v>8</v>
      </c>
      <c r="O30" s="191">
        <f t="shared" si="10"/>
        <v>27.9</v>
      </c>
      <c r="P30" s="49">
        <v>4</v>
      </c>
      <c r="Q30" s="191">
        <f t="shared" si="11"/>
        <v>4.3499999999999996</v>
      </c>
      <c r="R30" s="41">
        <v>3</v>
      </c>
      <c r="S30" s="190">
        <f t="shared" si="12"/>
        <v>42</v>
      </c>
    </row>
    <row r="32" spans="1:19" x14ac:dyDescent="0.25">
      <c r="B32" s="367" t="s">
        <v>104</v>
      </c>
      <c r="C32" s="367"/>
      <c r="D32" s="367"/>
      <c r="E32" s="367"/>
      <c r="F32" s="367"/>
    </row>
    <row r="33" spans="2:6" x14ac:dyDescent="0.25">
      <c r="B33" s="123" t="s">
        <v>454</v>
      </c>
      <c r="C33" s="363" t="s">
        <v>105</v>
      </c>
      <c r="D33" s="364"/>
      <c r="E33" s="363" t="s">
        <v>145</v>
      </c>
      <c r="F33" s="364"/>
    </row>
    <row r="34" spans="2:6" x14ac:dyDescent="0.25">
      <c r="B34" s="124" t="s">
        <v>106</v>
      </c>
      <c r="C34" s="368"/>
      <c r="D34" s="369"/>
      <c r="E34" s="369"/>
      <c r="F34" s="370"/>
    </row>
    <row r="35" spans="2:6" s="87" customFormat="1" x14ac:dyDescent="0.25">
      <c r="B35" s="124" t="s">
        <v>156</v>
      </c>
      <c r="C35" s="353" t="s">
        <v>620</v>
      </c>
      <c r="D35" s="353"/>
      <c r="E35" s="357" t="s">
        <v>320</v>
      </c>
      <c r="F35" s="364"/>
    </row>
    <row r="36" spans="2:6" x14ac:dyDescent="0.25">
      <c r="B36" s="124" t="s">
        <v>107</v>
      </c>
      <c r="C36" s="404">
        <v>3.1</v>
      </c>
      <c r="D36" s="404"/>
      <c r="E36" s="363">
        <v>1.8</v>
      </c>
      <c r="F36" s="364"/>
    </row>
    <row r="37" spans="2:6" x14ac:dyDescent="0.25">
      <c r="B37" s="124" t="s">
        <v>108</v>
      </c>
      <c r="C37" s="361">
        <v>5.8</v>
      </c>
      <c r="D37" s="362"/>
      <c r="E37" s="363">
        <v>5.6</v>
      </c>
      <c r="F37" s="364"/>
    </row>
    <row r="38" spans="2:6" x14ac:dyDescent="0.25">
      <c r="B38" s="124" t="s">
        <v>109</v>
      </c>
      <c r="C38" s="389">
        <v>66</v>
      </c>
      <c r="D38" s="390"/>
      <c r="E38" s="363">
        <v>177</v>
      </c>
      <c r="F38" s="364"/>
    </row>
    <row r="39" spans="2:6" x14ac:dyDescent="0.25">
      <c r="B39" s="124" t="s">
        <v>110</v>
      </c>
      <c r="C39" s="389">
        <v>115</v>
      </c>
      <c r="D39" s="390"/>
      <c r="E39" s="363">
        <v>233</v>
      </c>
      <c r="F39" s="364"/>
    </row>
    <row r="40" spans="2:6" s="87" customFormat="1" x14ac:dyDescent="0.25">
      <c r="B40" s="124" t="s">
        <v>119</v>
      </c>
      <c r="C40" s="361" t="s">
        <v>425</v>
      </c>
      <c r="D40" s="356"/>
      <c r="E40" s="357"/>
      <c r="F40" s="364"/>
    </row>
    <row r="41" spans="2:6" x14ac:dyDescent="0.25">
      <c r="B41" s="124" t="s">
        <v>140</v>
      </c>
      <c r="C41" s="363" t="s">
        <v>149</v>
      </c>
      <c r="D41" s="357"/>
      <c r="E41" s="357"/>
      <c r="F41" s="364"/>
    </row>
    <row r="42" spans="2:6" s="298" customFormat="1" x14ac:dyDescent="0.25">
      <c r="B42" s="124" t="s">
        <v>680</v>
      </c>
      <c r="C42" s="363" t="s">
        <v>686</v>
      </c>
      <c r="D42" s="357"/>
      <c r="E42" s="357"/>
      <c r="F42" s="364"/>
    </row>
    <row r="43" spans="2:6" x14ac:dyDescent="0.25">
      <c r="B43" s="124" t="s">
        <v>111</v>
      </c>
      <c r="C43" s="358" t="s">
        <v>426</v>
      </c>
      <c r="D43" s="358"/>
      <c r="E43" s="353" t="s">
        <v>415</v>
      </c>
      <c r="F43" s="353"/>
    </row>
    <row r="44" spans="2:6" x14ac:dyDescent="0.25">
      <c r="B44" s="123" t="s">
        <v>112</v>
      </c>
      <c r="C44" s="358" t="s">
        <v>472</v>
      </c>
      <c r="D44" s="358"/>
      <c r="E44" s="353" t="s">
        <v>469</v>
      </c>
      <c r="F44" s="353"/>
    </row>
    <row r="45" spans="2:6" s="87" customFormat="1" x14ac:dyDescent="0.25">
      <c r="B45" s="123"/>
      <c r="C45" s="219"/>
      <c r="D45" s="218"/>
      <c r="E45" s="208"/>
      <c r="F45" s="209"/>
    </row>
    <row r="46" spans="2:6" x14ac:dyDescent="0.25">
      <c r="B46" s="124" t="s">
        <v>113</v>
      </c>
      <c r="C46" s="368"/>
      <c r="D46" s="369"/>
      <c r="E46" s="369"/>
      <c r="F46" s="370"/>
    </row>
    <row r="47" spans="2:6" x14ac:dyDescent="0.25">
      <c r="B47" s="124" t="s">
        <v>114</v>
      </c>
      <c r="C47" s="211" t="s">
        <v>415</v>
      </c>
      <c r="D47" s="177" t="s">
        <v>429</v>
      </c>
      <c r="E47" s="124" t="s">
        <v>415</v>
      </c>
      <c r="F47" s="207" t="s">
        <v>470</v>
      </c>
    </row>
    <row r="48" spans="2:6" x14ac:dyDescent="0.25">
      <c r="B48" s="124" t="s">
        <v>138</v>
      </c>
      <c r="C48" s="211" t="s">
        <v>316</v>
      </c>
      <c r="D48" s="177" t="s">
        <v>238</v>
      </c>
      <c r="E48" s="124"/>
      <c r="F48" s="146"/>
    </row>
    <row r="49" spans="2:6" s="87" customFormat="1" x14ac:dyDescent="0.25">
      <c r="B49" s="124"/>
      <c r="C49" s="211"/>
      <c r="D49" s="177"/>
      <c r="E49" s="124"/>
      <c r="F49" s="207"/>
    </row>
    <row r="50" spans="2:6" s="87" customFormat="1" x14ac:dyDescent="0.25">
      <c r="B50" s="124"/>
      <c r="C50" s="211"/>
      <c r="D50" s="177"/>
      <c r="E50" s="124"/>
      <c r="F50" s="207"/>
    </row>
    <row r="51" spans="2:6" x14ac:dyDescent="0.25">
      <c r="B51" s="113" t="s">
        <v>244</v>
      </c>
      <c r="C51" s="211"/>
      <c r="D51" s="211"/>
      <c r="E51" s="124"/>
      <c r="F51" s="146"/>
    </row>
    <row r="52" spans="2:6" s="87" customFormat="1" x14ac:dyDescent="0.25">
      <c r="B52" s="124"/>
      <c r="C52" s="211"/>
      <c r="D52" s="211"/>
      <c r="E52" s="124"/>
      <c r="F52" s="207"/>
    </row>
    <row r="53" spans="2:6" s="87" customFormat="1" x14ac:dyDescent="0.25">
      <c r="B53" s="124" t="s">
        <v>115</v>
      </c>
      <c r="C53" s="211"/>
      <c r="D53" s="211"/>
      <c r="E53" s="124"/>
      <c r="F53" s="207"/>
    </row>
    <row r="54" spans="2:6" x14ac:dyDescent="0.25">
      <c r="B54" s="124" t="s">
        <v>116</v>
      </c>
      <c r="C54" s="211" t="s">
        <v>396</v>
      </c>
      <c r="D54" s="211" t="s">
        <v>395</v>
      </c>
      <c r="E54" s="124" t="s">
        <v>572</v>
      </c>
      <c r="F54" s="124" t="s">
        <v>573</v>
      </c>
    </row>
    <row r="55" spans="2:6" s="87" customFormat="1" x14ac:dyDescent="0.25">
      <c r="B55" s="124"/>
      <c r="C55" s="211"/>
      <c r="D55" s="211" t="s">
        <v>430</v>
      </c>
      <c r="E55" s="124"/>
      <c r="F55" s="124" t="s">
        <v>160</v>
      </c>
    </row>
    <row r="56" spans="2:6" s="87" customFormat="1" x14ac:dyDescent="0.25">
      <c r="B56" s="124"/>
      <c r="C56" s="211" t="s">
        <v>431</v>
      </c>
      <c r="D56" s="211" t="s">
        <v>432</v>
      </c>
      <c r="E56" s="124"/>
      <c r="F56" s="124"/>
    </row>
    <row r="57" spans="2:6" s="87" customFormat="1" x14ac:dyDescent="0.25">
      <c r="B57" s="124"/>
      <c r="C57" s="201"/>
      <c r="D57" s="201"/>
      <c r="E57" s="124"/>
      <c r="F57" s="124"/>
    </row>
    <row r="58" spans="2:6" s="87" customFormat="1" x14ac:dyDescent="0.25">
      <c r="B58" s="124" t="s">
        <v>117</v>
      </c>
      <c r="C58" s="201"/>
      <c r="D58" s="201"/>
      <c r="E58" s="124" t="s">
        <v>577</v>
      </c>
      <c r="F58" s="124" t="s">
        <v>574</v>
      </c>
    </row>
    <row r="59" spans="2:6" s="87" customFormat="1" x14ac:dyDescent="0.25">
      <c r="B59" s="124"/>
      <c r="C59" s="201"/>
      <c r="D59" s="201"/>
      <c r="E59" s="124" t="s">
        <v>568</v>
      </c>
      <c r="F59" s="124" t="s">
        <v>158</v>
      </c>
    </row>
    <row r="60" spans="2:6" x14ac:dyDescent="0.25">
      <c r="B60" s="124" t="s">
        <v>123</v>
      </c>
      <c r="C60" s="211"/>
      <c r="D60" s="211"/>
      <c r="E60" s="124" t="s">
        <v>568</v>
      </c>
      <c r="F60" s="124" t="s">
        <v>574</v>
      </c>
    </row>
    <row r="61" spans="2:6" s="87" customFormat="1" x14ac:dyDescent="0.25">
      <c r="B61" s="124"/>
      <c r="C61" s="211"/>
      <c r="D61" s="211"/>
      <c r="E61" s="124" t="s">
        <v>575</v>
      </c>
      <c r="F61" s="124" t="s">
        <v>576</v>
      </c>
    </row>
    <row r="62" spans="2:6" s="87" customFormat="1" x14ac:dyDescent="0.25">
      <c r="B62" s="124"/>
      <c r="C62" s="201"/>
      <c r="D62" s="201"/>
      <c r="E62" s="124"/>
      <c r="F62" s="124"/>
    </row>
    <row r="63" spans="2:6" x14ac:dyDescent="0.25">
      <c r="B63" s="124" t="s">
        <v>144</v>
      </c>
      <c r="C63" s="201"/>
      <c r="D63" s="201"/>
      <c r="E63" s="124" t="s">
        <v>568</v>
      </c>
      <c r="F63" s="124" t="s">
        <v>190</v>
      </c>
    </row>
    <row r="64" spans="2:6" x14ac:dyDescent="0.25">
      <c r="E64" s="296" t="s">
        <v>443</v>
      </c>
      <c r="F64" s="296" t="s">
        <v>190</v>
      </c>
    </row>
  </sheetData>
  <mergeCells count="32">
    <mergeCell ref="M7:N7"/>
    <mergeCell ref="O7:P7"/>
    <mergeCell ref="Q7:R7"/>
    <mergeCell ref="S7:S8"/>
    <mergeCell ref="A7:A8"/>
    <mergeCell ref="B7:B8"/>
    <mergeCell ref="C7:E7"/>
    <mergeCell ref="I7:J7"/>
    <mergeCell ref="K7:L7"/>
    <mergeCell ref="B32:F32"/>
    <mergeCell ref="C33:D33"/>
    <mergeCell ref="E33:F33"/>
    <mergeCell ref="C34:F34"/>
    <mergeCell ref="C36:D36"/>
    <mergeCell ref="E36:F36"/>
    <mergeCell ref="E35:F35"/>
    <mergeCell ref="C35:D35"/>
    <mergeCell ref="C37:D37"/>
    <mergeCell ref="E37:F37"/>
    <mergeCell ref="C38:D38"/>
    <mergeCell ref="E38:F38"/>
    <mergeCell ref="C39:D39"/>
    <mergeCell ref="E39:F39"/>
    <mergeCell ref="C40:D40"/>
    <mergeCell ref="C46:F46"/>
    <mergeCell ref="C41:F41"/>
    <mergeCell ref="C43:D43"/>
    <mergeCell ref="E43:F43"/>
    <mergeCell ref="C44:D44"/>
    <mergeCell ref="E44:F44"/>
    <mergeCell ref="E40:F40"/>
    <mergeCell ref="C42:F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133"/>
  <sheetViews>
    <sheetView workbookViewId="0">
      <selection activeCell="S9" sqref="S9"/>
    </sheetView>
  </sheetViews>
  <sheetFormatPr defaultRowHeight="15" x14ac:dyDescent="0.25"/>
  <cols>
    <col min="1" max="1" width="4.5703125" customWidth="1"/>
    <col min="2" max="2" width="25.42578125" customWidth="1"/>
    <col min="3" max="3" width="12.28515625" customWidth="1"/>
    <col min="4" max="4" width="22.140625" customWidth="1"/>
    <col min="5" max="5" width="12.140625" customWidth="1"/>
    <col min="6" max="6" width="23.140625" customWidth="1"/>
    <col min="7" max="7" width="12.42578125" customWidth="1"/>
    <col min="8" max="8" width="26.140625" customWidth="1"/>
    <col min="15" max="15" width="10.140625" customWidth="1"/>
  </cols>
  <sheetData>
    <row r="2" spans="1:15" x14ac:dyDescent="0.25">
      <c r="B2" s="92" t="s">
        <v>524</v>
      </c>
    </row>
    <row r="3" spans="1:15" x14ac:dyDescent="0.25">
      <c r="B3" s="92" t="s">
        <v>525</v>
      </c>
    </row>
    <row r="5" spans="1:15" ht="15.75" x14ac:dyDescent="0.25">
      <c r="A5" s="93" t="s">
        <v>69</v>
      </c>
    </row>
    <row r="7" spans="1:15" ht="51" x14ac:dyDescent="0.25">
      <c r="A7" s="372" t="s">
        <v>1</v>
      </c>
      <c r="B7" s="372" t="s">
        <v>2</v>
      </c>
      <c r="C7" s="372" t="s">
        <v>70</v>
      </c>
      <c r="D7" s="372"/>
      <c r="E7" s="372"/>
      <c r="F7" s="95" t="s">
        <v>5</v>
      </c>
      <c r="G7" s="95" t="s">
        <v>28</v>
      </c>
      <c r="H7" s="95" t="s">
        <v>7</v>
      </c>
      <c r="I7" s="95" t="s">
        <v>71</v>
      </c>
      <c r="J7" s="398" t="s">
        <v>47</v>
      </c>
      <c r="K7" s="398"/>
      <c r="L7" s="398"/>
      <c r="M7" s="94" t="s">
        <v>48</v>
      </c>
      <c r="N7" s="97" t="s">
        <v>29</v>
      </c>
      <c r="O7" s="371" t="s">
        <v>13</v>
      </c>
    </row>
    <row r="8" spans="1:15" ht="76.5" x14ac:dyDescent="0.25">
      <c r="A8" s="372"/>
      <c r="B8" s="372"/>
      <c r="C8" s="95" t="s">
        <v>14</v>
      </c>
      <c r="D8" s="95" t="s">
        <v>15</v>
      </c>
      <c r="E8" s="95" t="s">
        <v>16</v>
      </c>
      <c r="F8" s="95" t="s">
        <v>16</v>
      </c>
      <c r="G8" s="95" t="s">
        <v>18</v>
      </c>
      <c r="H8" s="95" t="s">
        <v>19</v>
      </c>
      <c r="I8" s="95" t="s">
        <v>21</v>
      </c>
      <c r="J8" s="95" t="s">
        <v>49</v>
      </c>
      <c r="K8" s="96" t="s">
        <v>15</v>
      </c>
      <c r="L8" s="96" t="s">
        <v>16</v>
      </c>
      <c r="M8" s="96" t="s">
        <v>22</v>
      </c>
      <c r="N8" s="95" t="s">
        <v>20</v>
      </c>
      <c r="O8" s="371"/>
    </row>
    <row r="9" spans="1:15" s="85" customFormat="1" x14ac:dyDescent="0.25">
      <c r="A9" s="55" t="s">
        <v>82</v>
      </c>
      <c r="B9" s="101"/>
      <c r="C9" s="101"/>
      <c r="D9" s="101"/>
      <c r="E9" s="101"/>
      <c r="F9" s="101"/>
      <c r="G9" s="101"/>
      <c r="H9" s="101"/>
      <c r="I9" s="101"/>
      <c r="J9" s="101"/>
      <c r="K9" s="105"/>
      <c r="L9" s="105"/>
      <c r="M9" s="105"/>
      <c r="N9" s="101"/>
      <c r="O9" s="38"/>
    </row>
    <row r="10" spans="1:15" s="83" customFormat="1" ht="12.75" x14ac:dyDescent="0.2">
      <c r="A10" s="254">
        <v>1</v>
      </c>
      <c r="B10" s="254" t="s">
        <v>79</v>
      </c>
      <c r="C10" s="249">
        <f>(1.41+1.34)/2</f>
        <v>1.375</v>
      </c>
      <c r="D10" s="251">
        <v>100</v>
      </c>
      <c r="E10" s="247">
        <v>10</v>
      </c>
      <c r="F10" s="247">
        <v>9</v>
      </c>
      <c r="G10" s="247">
        <f>(116+128)/2</f>
        <v>122</v>
      </c>
      <c r="H10" s="247">
        <v>101</v>
      </c>
      <c r="I10" s="250">
        <f>(43.09+44.1)/2</f>
        <v>43.594999999999999</v>
      </c>
      <c r="J10" s="249">
        <f>(((C10*92)/100)*I10)/100</f>
        <v>0.55147674999999996</v>
      </c>
      <c r="K10" s="251">
        <v>100</v>
      </c>
      <c r="L10" s="247">
        <v>5</v>
      </c>
      <c r="M10" s="250">
        <f>(4.32+4.54)/2</f>
        <v>4.43</v>
      </c>
      <c r="N10" s="251">
        <f>(662+657)/2</f>
        <v>659.5</v>
      </c>
      <c r="O10" s="247">
        <f>SUM(E10+L10)</f>
        <v>15</v>
      </c>
    </row>
    <row r="11" spans="1:15" s="83" customFormat="1" ht="12.75" x14ac:dyDescent="0.2">
      <c r="A11" s="56">
        <v>2</v>
      </c>
      <c r="B11" s="56" t="s">
        <v>219</v>
      </c>
      <c r="C11" s="44">
        <v>1.54</v>
      </c>
      <c r="D11" s="42">
        <f>(C11*100)/C$10</f>
        <v>112</v>
      </c>
      <c r="E11" s="41">
        <v>12</v>
      </c>
      <c r="F11" s="41">
        <v>9</v>
      </c>
      <c r="G11" s="41">
        <v>120</v>
      </c>
      <c r="H11" s="312">
        <v>101</v>
      </c>
      <c r="I11" s="187">
        <v>41.07</v>
      </c>
      <c r="J11" s="47">
        <f t="shared" ref="J11:J28" si="0">(((C11*92)/100)*I11)/100</f>
        <v>0.58187976000000008</v>
      </c>
      <c r="K11" s="42">
        <f t="shared" ref="K11:K28" si="1">(J11*100)/J$10</f>
        <v>105.51301754788395</v>
      </c>
      <c r="L11" s="41">
        <v>6</v>
      </c>
      <c r="M11" s="191">
        <v>3.5</v>
      </c>
      <c r="N11" s="312">
        <v>682</v>
      </c>
      <c r="O11" s="49">
        <f t="shared" ref="O11:O28" si="2">SUM(E11+L11)</f>
        <v>18</v>
      </c>
    </row>
    <row r="12" spans="1:15" s="83" customFormat="1" ht="12.75" x14ac:dyDescent="0.2">
      <c r="A12" s="56">
        <v>3</v>
      </c>
      <c r="B12" s="56" t="s">
        <v>220</v>
      </c>
      <c r="C12" s="44">
        <v>1.59</v>
      </c>
      <c r="D12" s="186">
        <f t="shared" ref="D12:D28" si="3">(C12*100)/C$10</f>
        <v>115.63636363636364</v>
      </c>
      <c r="E12" s="41">
        <v>14</v>
      </c>
      <c r="F12" s="312">
        <v>9</v>
      </c>
      <c r="G12" s="41">
        <v>114</v>
      </c>
      <c r="H12" s="312">
        <v>100</v>
      </c>
      <c r="I12" s="187">
        <v>44</v>
      </c>
      <c r="J12" s="188">
        <f t="shared" si="0"/>
        <v>0.64363200000000009</v>
      </c>
      <c r="K12" s="186">
        <f t="shared" si="1"/>
        <v>116.71063195320566</v>
      </c>
      <c r="L12" s="41">
        <v>7</v>
      </c>
      <c r="M12" s="191">
        <v>3.26</v>
      </c>
      <c r="N12" s="312">
        <v>659</v>
      </c>
      <c r="O12" s="190">
        <f t="shared" si="2"/>
        <v>21</v>
      </c>
    </row>
    <row r="13" spans="1:15" s="83" customFormat="1" ht="12.75" x14ac:dyDescent="0.2">
      <c r="A13" s="56">
        <v>4</v>
      </c>
      <c r="B13" s="56" t="s">
        <v>221</v>
      </c>
      <c r="C13" s="44">
        <v>1.54</v>
      </c>
      <c r="D13" s="186">
        <f t="shared" si="3"/>
        <v>112</v>
      </c>
      <c r="E13" s="41">
        <v>12</v>
      </c>
      <c r="F13" s="312">
        <v>9</v>
      </c>
      <c r="G13" s="41">
        <v>125</v>
      </c>
      <c r="H13" s="312">
        <v>101</v>
      </c>
      <c r="I13" s="187">
        <v>43.19</v>
      </c>
      <c r="J13" s="188">
        <f t="shared" si="0"/>
        <v>0.61191591999999995</v>
      </c>
      <c r="K13" s="186">
        <f t="shared" si="1"/>
        <v>110.95951370570019</v>
      </c>
      <c r="L13" s="41">
        <v>6</v>
      </c>
      <c r="M13" s="191">
        <v>3.74</v>
      </c>
      <c r="N13" s="312">
        <v>662</v>
      </c>
      <c r="O13" s="190">
        <f t="shared" si="2"/>
        <v>18</v>
      </c>
    </row>
    <row r="14" spans="1:15" s="83" customFormat="1" ht="12.75" x14ac:dyDescent="0.2">
      <c r="A14" s="56">
        <v>5</v>
      </c>
      <c r="B14" s="56" t="s">
        <v>537</v>
      </c>
      <c r="C14" s="44">
        <v>1.52</v>
      </c>
      <c r="D14" s="186">
        <f t="shared" si="3"/>
        <v>110.54545454545455</v>
      </c>
      <c r="E14" s="312">
        <v>12</v>
      </c>
      <c r="F14" s="312">
        <v>9</v>
      </c>
      <c r="G14" s="312">
        <v>129</v>
      </c>
      <c r="H14" s="312">
        <v>101</v>
      </c>
      <c r="I14" s="187">
        <v>44.55</v>
      </c>
      <c r="J14" s="188">
        <f t="shared" si="0"/>
        <v>0.62298720000000007</v>
      </c>
      <c r="K14" s="186">
        <f t="shared" si="1"/>
        <v>112.96708338112171</v>
      </c>
      <c r="L14" s="312">
        <v>6</v>
      </c>
      <c r="M14" s="191">
        <v>4.0999999999999996</v>
      </c>
      <c r="N14" s="312">
        <v>655</v>
      </c>
      <c r="O14" s="190">
        <f t="shared" si="2"/>
        <v>18</v>
      </c>
    </row>
    <row r="15" spans="1:15" s="83" customFormat="1" ht="12.75" x14ac:dyDescent="0.2">
      <c r="A15" s="56">
        <v>6</v>
      </c>
      <c r="B15" s="56" t="s">
        <v>538</v>
      </c>
      <c r="C15" s="44">
        <v>1.44</v>
      </c>
      <c r="D15" s="186">
        <f t="shared" si="3"/>
        <v>104.72727272727273</v>
      </c>
      <c r="E15" s="312">
        <v>10</v>
      </c>
      <c r="F15" s="312">
        <v>9</v>
      </c>
      <c r="G15" s="312">
        <v>119</v>
      </c>
      <c r="H15" s="312">
        <v>101</v>
      </c>
      <c r="I15" s="187">
        <v>42.26</v>
      </c>
      <c r="J15" s="188">
        <f t="shared" si="0"/>
        <v>0.55986047999999999</v>
      </c>
      <c r="K15" s="186">
        <f t="shared" si="1"/>
        <v>101.52023272059974</v>
      </c>
      <c r="L15" s="312">
        <v>5</v>
      </c>
      <c r="M15" s="191">
        <v>3.56</v>
      </c>
      <c r="N15" s="312">
        <v>663</v>
      </c>
      <c r="O15" s="190">
        <f t="shared" si="2"/>
        <v>15</v>
      </c>
    </row>
    <row r="16" spans="1:15" s="83" customFormat="1" ht="12.75" x14ac:dyDescent="0.2">
      <c r="A16" s="56">
        <v>7</v>
      </c>
      <c r="B16" s="56" t="s">
        <v>539</v>
      </c>
      <c r="C16" s="44">
        <v>1.86</v>
      </c>
      <c r="D16" s="186">
        <f t="shared" si="3"/>
        <v>135.27272727272728</v>
      </c>
      <c r="E16" s="312">
        <v>16</v>
      </c>
      <c r="F16" s="312">
        <v>9</v>
      </c>
      <c r="G16" s="312">
        <v>110</v>
      </c>
      <c r="H16" s="312">
        <v>101</v>
      </c>
      <c r="I16" s="187">
        <v>41.5</v>
      </c>
      <c r="J16" s="188">
        <f t="shared" si="0"/>
        <v>0.71014800000000011</v>
      </c>
      <c r="K16" s="186">
        <f t="shared" si="1"/>
        <v>128.77206518679168</v>
      </c>
      <c r="L16" s="312">
        <v>8</v>
      </c>
      <c r="M16" s="191">
        <v>3.88</v>
      </c>
      <c r="N16" s="312">
        <v>674</v>
      </c>
      <c r="O16" s="190">
        <f t="shared" si="2"/>
        <v>24</v>
      </c>
    </row>
    <row r="17" spans="1:15" s="83" customFormat="1" ht="12.75" x14ac:dyDescent="0.2">
      <c r="A17" s="56">
        <v>8</v>
      </c>
      <c r="B17" s="56" t="s">
        <v>540</v>
      </c>
      <c r="C17" s="44">
        <v>1.47</v>
      </c>
      <c r="D17" s="186">
        <f t="shared" si="3"/>
        <v>106.90909090909091</v>
      </c>
      <c r="E17" s="312">
        <v>12</v>
      </c>
      <c r="F17" s="312">
        <v>9</v>
      </c>
      <c r="G17" s="312">
        <v>126</v>
      </c>
      <c r="H17" s="312">
        <v>102</v>
      </c>
      <c r="I17" s="187">
        <v>42.39</v>
      </c>
      <c r="J17" s="188">
        <f t="shared" si="0"/>
        <v>0.57328235999999999</v>
      </c>
      <c r="K17" s="186">
        <f t="shared" si="1"/>
        <v>103.95403976686234</v>
      </c>
      <c r="L17" s="312">
        <v>5</v>
      </c>
      <c r="M17" s="191">
        <v>3.61</v>
      </c>
      <c r="N17" s="312">
        <v>667</v>
      </c>
      <c r="O17" s="190">
        <f t="shared" si="2"/>
        <v>17</v>
      </c>
    </row>
    <row r="18" spans="1:15" s="83" customFormat="1" ht="12.75" x14ac:dyDescent="0.2">
      <c r="A18" s="56">
        <v>9</v>
      </c>
      <c r="B18" s="56" t="s">
        <v>541</v>
      </c>
      <c r="C18" s="44">
        <v>1.67</v>
      </c>
      <c r="D18" s="186">
        <f t="shared" si="3"/>
        <v>121.45454545454545</v>
      </c>
      <c r="E18" s="312">
        <v>14</v>
      </c>
      <c r="F18" s="312">
        <v>9</v>
      </c>
      <c r="G18" s="312">
        <v>110</v>
      </c>
      <c r="H18" s="312">
        <v>100</v>
      </c>
      <c r="I18" s="187">
        <v>44.48</v>
      </c>
      <c r="J18" s="188">
        <f t="shared" si="0"/>
        <v>0.6833907199999999</v>
      </c>
      <c r="K18" s="186">
        <f t="shared" si="1"/>
        <v>123.92013262571811</v>
      </c>
      <c r="L18" s="312">
        <v>7</v>
      </c>
      <c r="M18" s="191">
        <v>3.7</v>
      </c>
      <c r="N18" s="312">
        <v>676</v>
      </c>
      <c r="O18" s="190">
        <f t="shared" si="2"/>
        <v>21</v>
      </c>
    </row>
    <row r="19" spans="1:15" s="83" customFormat="1" ht="12.75" x14ac:dyDescent="0.2">
      <c r="A19" s="56">
        <v>10</v>
      </c>
      <c r="B19" s="56" t="s">
        <v>542</v>
      </c>
      <c r="C19" s="44">
        <v>1.34</v>
      </c>
      <c r="D19" s="186">
        <f t="shared" si="3"/>
        <v>97.454545454545453</v>
      </c>
      <c r="E19" s="312">
        <v>10</v>
      </c>
      <c r="F19" s="312">
        <v>9</v>
      </c>
      <c r="G19" s="312">
        <v>111</v>
      </c>
      <c r="H19" s="312">
        <v>100</v>
      </c>
      <c r="I19" s="187">
        <v>44.57</v>
      </c>
      <c r="J19" s="188">
        <f t="shared" si="0"/>
        <v>0.54945896000000005</v>
      </c>
      <c r="K19" s="186">
        <f t="shared" si="1"/>
        <v>99.634111501527499</v>
      </c>
      <c r="L19" s="312">
        <v>5</v>
      </c>
      <c r="M19" s="191">
        <v>3.61</v>
      </c>
      <c r="N19" s="312">
        <v>656</v>
      </c>
      <c r="O19" s="190">
        <f t="shared" si="2"/>
        <v>15</v>
      </c>
    </row>
    <row r="20" spans="1:15" s="83" customFormat="1" ht="12.75" x14ac:dyDescent="0.2">
      <c r="A20" s="56">
        <v>11</v>
      </c>
      <c r="B20" s="56" t="s">
        <v>543</v>
      </c>
      <c r="C20" s="44">
        <v>1.83</v>
      </c>
      <c r="D20" s="186">
        <f t="shared" si="3"/>
        <v>133.09090909090909</v>
      </c>
      <c r="E20" s="312">
        <v>16</v>
      </c>
      <c r="F20" s="312">
        <v>9</v>
      </c>
      <c r="G20" s="312">
        <v>110</v>
      </c>
      <c r="H20" s="312">
        <v>101</v>
      </c>
      <c r="I20" s="187">
        <v>44.18</v>
      </c>
      <c r="J20" s="188">
        <f t="shared" si="0"/>
        <v>0.74381448000000006</v>
      </c>
      <c r="K20" s="186">
        <f t="shared" si="1"/>
        <v>134.8768520159735</v>
      </c>
      <c r="L20" s="312">
        <v>8</v>
      </c>
      <c r="M20" s="191">
        <v>3.44</v>
      </c>
      <c r="N20" s="312">
        <v>670</v>
      </c>
      <c r="O20" s="190">
        <f t="shared" si="2"/>
        <v>24</v>
      </c>
    </row>
    <row r="21" spans="1:15" s="83" customFormat="1" ht="12.75" x14ac:dyDescent="0.2">
      <c r="A21" s="56">
        <v>12</v>
      </c>
      <c r="B21" s="56" t="s">
        <v>222</v>
      </c>
      <c r="C21" s="44">
        <v>1.83</v>
      </c>
      <c r="D21" s="186">
        <f t="shared" si="3"/>
        <v>133.09090909090909</v>
      </c>
      <c r="E21" s="312">
        <v>16</v>
      </c>
      <c r="F21" s="312">
        <v>9</v>
      </c>
      <c r="G21" s="312">
        <v>109</v>
      </c>
      <c r="H21" s="312">
        <v>98</v>
      </c>
      <c r="I21" s="187">
        <v>42.93</v>
      </c>
      <c r="J21" s="188">
        <f t="shared" si="0"/>
        <v>0.72276948000000008</v>
      </c>
      <c r="K21" s="186">
        <f t="shared" si="1"/>
        <v>131.0607346547248</v>
      </c>
      <c r="L21" s="312">
        <v>8</v>
      </c>
      <c r="M21" s="191">
        <v>3.04</v>
      </c>
      <c r="N21" s="312">
        <v>661</v>
      </c>
      <c r="O21" s="190">
        <f t="shared" si="2"/>
        <v>24</v>
      </c>
    </row>
    <row r="22" spans="1:15" s="83" customFormat="1" ht="12.75" x14ac:dyDescent="0.2">
      <c r="A22" s="56">
        <v>13</v>
      </c>
      <c r="B22" s="56" t="s">
        <v>223</v>
      </c>
      <c r="C22" s="44">
        <v>1.55</v>
      </c>
      <c r="D22" s="186">
        <f t="shared" si="3"/>
        <v>112.72727272727273</v>
      </c>
      <c r="E22" s="41">
        <v>16</v>
      </c>
      <c r="F22" s="312">
        <v>9</v>
      </c>
      <c r="G22" s="41">
        <v>105</v>
      </c>
      <c r="H22" s="312">
        <v>101</v>
      </c>
      <c r="I22" s="187">
        <v>46.57</v>
      </c>
      <c r="J22" s="188">
        <f t="shared" si="0"/>
        <v>0.66408819999999991</v>
      </c>
      <c r="K22" s="186">
        <f t="shared" si="1"/>
        <v>120.4199814407407</v>
      </c>
      <c r="L22" s="41">
        <v>7</v>
      </c>
      <c r="M22" s="191">
        <v>4.12</v>
      </c>
      <c r="N22" s="312">
        <v>660</v>
      </c>
      <c r="O22" s="190">
        <f t="shared" si="2"/>
        <v>23</v>
      </c>
    </row>
    <row r="23" spans="1:15" s="83" customFormat="1" ht="12.75" x14ac:dyDescent="0.2">
      <c r="A23" s="56">
        <v>14</v>
      </c>
      <c r="B23" s="56" t="s">
        <v>224</v>
      </c>
      <c r="C23" s="44">
        <v>1.81</v>
      </c>
      <c r="D23" s="186">
        <f t="shared" si="3"/>
        <v>131.63636363636363</v>
      </c>
      <c r="E23" s="41">
        <v>16</v>
      </c>
      <c r="F23" s="312">
        <v>9</v>
      </c>
      <c r="G23" s="41">
        <v>111</v>
      </c>
      <c r="H23" s="312">
        <v>100</v>
      </c>
      <c r="I23" s="187">
        <v>44.72</v>
      </c>
      <c r="J23" s="188">
        <f t="shared" si="0"/>
        <v>0.74467743999999991</v>
      </c>
      <c r="K23" s="186">
        <f t="shared" si="1"/>
        <v>135.03333368088502</v>
      </c>
      <c r="L23" s="41">
        <v>8</v>
      </c>
      <c r="M23" s="191">
        <v>3.43</v>
      </c>
      <c r="N23" s="312">
        <v>674</v>
      </c>
      <c r="O23" s="190">
        <f t="shared" si="2"/>
        <v>24</v>
      </c>
    </row>
    <row r="24" spans="1:15" s="83" customFormat="1" ht="12.75" x14ac:dyDescent="0.2">
      <c r="A24" s="56">
        <v>15</v>
      </c>
      <c r="B24" s="56" t="s">
        <v>544</v>
      </c>
      <c r="C24" s="44">
        <v>1.65</v>
      </c>
      <c r="D24" s="186">
        <f t="shared" si="3"/>
        <v>120</v>
      </c>
      <c r="E24" s="41">
        <v>14</v>
      </c>
      <c r="F24" s="312">
        <v>9</v>
      </c>
      <c r="G24" s="41">
        <v>106</v>
      </c>
      <c r="H24" s="312">
        <v>100</v>
      </c>
      <c r="I24" s="187">
        <v>43.2</v>
      </c>
      <c r="J24" s="188">
        <f t="shared" si="0"/>
        <v>0.65577599999999991</v>
      </c>
      <c r="K24" s="186">
        <f t="shared" si="1"/>
        <v>118.91271934854913</v>
      </c>
      <c r="L24" s="41">
        <v>7</v>
      </c>
      <c r="M24" s="191">
        <v>3.56</v>
      </c>
      <c r="N24" s="312">
        <v>661</v>
      </c>
      <c r="O24" s="190">
        <f t="shared" si="2"/>
        <v>21</v>
      </c>
    </row>
    <row r="25" spans="1:15" s="83" customFormat="1" ht="12.75" x14ac:dyDescent="0.2">
      <c r="A25" s="56">
        <v>16</v>
      </c>
      <c r="B25" s="56" t="s">
        <v>545</v>
      </c>
      <c r="C25" s="44">
        <v>1.97</v>
      </c>
      <c r="D25" s="186">
        <f t="shared" si="3"/>
        <v>143.27272727272728</v>
      </c>
      <c r="E25" s="41">
        <v>18</v>
      </c>
      <c r="F25" s="312">
        <v>9</v>
      </c>
      <c r="G25" s="41">
        <v>99</v>
      </c>
      <c r="H25" s="312">
        <v>97</v>
      </c>
      <c r="I25" s="187">
        <v>44.3</v>
      </c>
      <c r="J25" s="188">
        <f t="shared" si="0"/>
        <v>0.80289319999999986</v>
      </c>
      <c r="K25" s="186">
        <f t="shared" si="1"/>
        <v>145.58967354471426</v>
      </c>
      <c r="L25" s="41">
        <v>9</v>
      </c>
      <c r="M25" s="191">
        <v>3.4</v>
      </c>
      <c r="N25" s="312">
        <v>660</v>
      </c>
      <c r="O25" s="190">
        <f t="shared" si="2"/>
        <v>27</v>
      </c>
    </row>
    <row r="26" spans="1:15" s="83" customFormat="1" ht="12.75" x14ac:dyDescent="0.2">
      <c r="A26" s="56">
        <v>17</v>
      </c>
      <c r="B26" s="56" t="s">
        <v>546</v>
      </c>
      <c r="C26" s="44">
        <v>1.39</v>
      </c>
      <c r="D26" s="186">
        <f t="shared" si="3"/>
        <v>101.09090909090909</v>
      </c>
      <c r="E26" s="41">
        <v>10</v>
      </c>
      <c r="F26" s="312">
        <v>9</v>
      </c>
      <c r="G26" s="41">
        <v>116</v>
      </c>
      <c r="H26" s="312">
        <v>99</v>
      </c>
      <c r="I26" s="187">
        <v>42.78</v>
      </c>
      <c r="J26" s="188">
        <f t="shared" si="0"/>
        <v>0.54707063999999994</v>
      </c>
      <c r="K26" s="186">
        <f t="shared" si="1"/>
        <v>99.201034313776603</v>
      </c>
      <c r="L26" s="41">
        <v>5</v>
      </c>
      <c r="M26" s="191">
        <v>3.7</v>
      </c>
      <c r="N26" s="312">
        <v>665</v>
      </c>
      <c r="O26" s="190">
        <f t="shared" si="2"/>
        <v>15</v>
      </c>
    </row>
    <row r="27" spans="1:15" s="83" customFormat="1" ht="12.75" x14ac:dyDescent="0.2">
      <c r="A27" s="56">
        <v>18</v>
      </c>
      <c r="B27" s="56" t="s">
        <v>547</v>
      </c>
      <c r="C27" s="44">
        <v>1.82</v>
      </c>
      <c r="D27" s="186">
        <f t="shared" si="3"/>
        <v>132.36363636363637</v>
      </c>
      <c r="E27" s="41">
        <v>16</v>
      </c>
      <c r="F27" s="312">
        <v>9</v>
      </c>
      <c r="G27" s="41">
        <v>126</v>
      </c>
      <c r="H27" s="312">
        <v>100</v>
      </c>
      <c r="I27" s="187">
        <v>43.75</v>
      </c>
      <c r="J27" s="188">
        <f t="shared" si="0"/>
        <v>0.73254999999999992</v>
      </c>
      <c r="K27" s="186">
        <f t="shared" si="1"/>
        <v>132.83424913198971</v>
      </c>
      <c r="L27" s="41">
        <v>8</v>
      </c>
      <c r="M27" s="191">
        <v>4.5599999999999996</v>
      </c>
      <c r="N27" s="312">
        <v>658</v>
      </c>
      <c r="O27" s="190">
        <f t="shared" si="2"/>
        <v>24</v>
      </c>
    </row>
    <row r="28" spans="1:15" s="83" customFormat="1" ht="12.75" x14ac:dyDescent="0.2">
      <c r="A28" s="56">
        <v>19</v>
      </c>
      <c r="B28" s="56" t="s">
        <v>548</v>
      </c>
      <c r="C28" s="44">
        <v>1.61</v>
      </c>
      <c r="D28" s="186">
        <f t="shared" si="3"/>
        <v>117.09090909090909</v>
      </c>
      <c r="E28" s="41">
        <v>14</v>
      </c>
      <c r="F28" s="312">
        <v>8</v>
      </c>
      <c r="G28" s="41">
        <v>124</v>
      </c>
      <c r="H28" s="312">
        <v>98</v>
      </c>
      <c r="I28" s="187">
        <v>42.2</v>
      </c>
      <c r="J28" s="188">
        <f t="shared" si="0"/>
        <v>0.62506640000000002</v>
      </c>
      <c r="K28" s="186">
        <f t="shared" si="1"/>
        <v>113.34410743517294</v>
      </c>
      <c r="L28" s="41">
        <v>6</v>
      </c>
      <c r="M28" s="191">
        <v>3.57</v>
      </c>
      <c r="N28" s="312">
        <v>653</v>
      </c>
      <c r="O28" s="190">
        <f t="shared" si="2"/>
        <v>20</v>
      </c>
    </row>
    <row r="29" spans="1:15" s="83" customFormat="1" ht="12.75" x14ac:dyDescent="0.2"/>
    <row r="30" spans="1:15" s="83" customFormat="1" ht="12.75" x14ac:dyDescent="0.2">
      <c r="A30" s="111" t="s">
        <v>295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5"/>
      <c r="L30" s="105"/>
      <c r="M30" s="105"/>
      <c r="N30" s="101"/>
      <c r="O30" s="38"/>
    </row>
    <row r="31" spans="1:15" s="83" customFormat="1" ht="12.75" x14ac:dyDescent="0.2">
      <c r="A31" s="254">
        <v>1</v>
      </c>
      <c r="B31" s="254" t="s">
        <v>79</v>
      </c>
      <c r="C31" s="249">
        <f>(1.7+1.34)/2</f>
        <v>1.52</v>
      </c>
      <c r="D31" s="251">
        <v>100</v>
      </c>
      <c r="E31" s="247">
        <v>10</v>
      </c>
      <c r="F31" s="247">
        <v>9</v>
      </c>
      <c r="G31" s="251">
        <f>(124+127)/2</f>
        <v>125.5</v>
      </c>
      <c r="H31" s="247">
        <v>105</v>
      </c>
      <c r="I31" s="250">
        <f>(46.53+44.91)/2</f>
        <v>45.72</v>
      </c>
      <c r="J31" s="249">
        <f>(((C31*92)/100)*I31)/100</f>
        <v>0.63934848</v>
      </c>
      <c r="K31" s="251">
        <v>100</v>
      </c>
      <c r="L31" s="247">
        <v>5</v>
      </c>
      <c r="M31" s="250">
        <f>(4.55+4.84)/2</f>
        <v>4.6950000000000003</v>
      </c>
      <c r="N31" s="247">
        <f>(673+675)/2</f>
        <v>674</v>
      </c>
      <c r="O31" s="247">
        <f>SUM(E31+L31)</f>
        <v>15</v>
      </c>
    </row>
    <row r="32" spans="1:15" s="83" customFormat="1" ht="12.75" x14ac:dyDescent="0.2">
      <c r="A32" s="56">
        <v>2</v>
      </c>
      <c r="B32" s="56" t="s">
        <v>219</v>
      </c>
      <c r="C32" s="44">
        <v>1.74</v>
      </c>
      <c r="D32" s="42">
        <f>(C32*100)/C$31</f>
        <v>114.47368421052632</v>
      </c>
      <c r="E32" s="41">
        <v>12</v>
      </c>
      <c r="F32" s="41">
        <v>9</v>
      </c>
      <c r="G32" s="41">
        <v>120</v>
      </c>
      <c r="H32" s="41">
        <v>105</v>
      </c>
      <c r="I32" s="187">
        <v>43.7</v>
      </c>
      <c r="J32" s="47">
        <f t="shared" ref="J32:J49" si="4">(((C32*92)/100)*I32)/100</f>
        <v>0.6995496000000001</v>
      </c>
      <c r="K32" s="42">
        <f>(J32*100)/J$31</f>
        <v>109.41601049868768</v>
      </c>
      <c r="L32" s="41">
        <v>6</v>
      </c>
      <c r="M32" s="187">
        <v>4.0199999999999996</v>
      </c>
      <c r="N32" s="325">
        <v>683</v>
      </c>
      <c r="O32" s="49">
        <f t="shared" ref="O32:O49" si="5">SUM(E32+L32)</f>
        <v>18</v>
      </c>
    </row>
    <row r="33" spans="1:15" s="83" customFormat="1" ht="12.75" x14ac:dyDescent="0.2">
      <c r="A33" s="56">
        <v>3</v>
      </c>
      <c r="B33" s="56" t="s">
        <v>220</v>
      </c>
      <c r="C33" s="44">
        <v>1.86</v>
      </c>
      <c r="D33" s="186">
        <f t="shared" ref="D33:D49" si="6">(C33*100)/C$31</f>
        <v>122.36842105263158</v>
      </c>
      <c r="E33" s="312">
        <v>14</v>
      </c>
      <c r="F33" s="325">
        <v>9</v>
      </c>
      <c r="G33" s="312">
        <v>111</v>
      </c>
      <c r="H33" s="325">
        <v>105</v>
      </c>
      <c r="I33" s="187">
        <v>46.33</v>
      </c>
      <c r="J33" s="188">
        <f t="shared" si="4"/>
        <v>0.79279895999999994</v>
      </c>
      <c r="K33" s="186">
        <f t="shared" ref="K33:K49" si="7">(J33*100)/J$31</f>
        <v>124.00107058986048</v>
      </c>
      <c r="L33" s="312">
        <v>7</v>
      </c>
      <c r="M33" s="187">
        <v>3.59</v>
      </c>
      <c r="N33" s="325">
        <v>668</v>
      </c>
      <c r="O33" s="190">
        <f t="shared" si="5"/>
        <v>21</v>
      </c>
    </row>
    <row r="34" spans="1:15" s="83" customFormat="1" ht="12.75" x14ac:dyDescent="0.2">
      <c r="A34" s="56">
        <v>4</v>
      </c>
      <c r="B34" s="56" t="s">
        <v>221</v>
      </c>
      <c r="C34" s="44">
        <v>1.93</v>
      </c>
      <c r="D34" s="186">
        <f t="shared" si="6"/>
        <v>126.97368421052632</v>
      </c>
      <c r="E34" s="312">
        <v>16</v>
      </c>
      <c r="F34" s="325">
        <v>9</v>
      </c>
      <c r="G34" s="312">
        <v>118</v>
      </c>
      <c r="H34" s="325">
        <v>105</v>
      </c>
      <c r="I34" s="187">
        <v>45.96</v>
      </c>
      <c r="J34" s="188">
        <f t="shared" si="4"/>
        <v>0.81606576000000008</v>
      </c>
      <c r="K34" s="186">
        <f t="shared" si="7"/>
        <v>127.64021273656583</v>
      </c>
      <c r="L34" s="312">
        <v>8</v>
      </c>
      <c r="M34" s="187">
        <v>4.82</v>
      </c>
      <c r="N34" s="325">
        <v>662</v>
      </c>
      <c r="O34" s="190">
        <f t="shared" si="5"/>
        <v>24</v>
      </c>
    </row>
    <row r="35" spans="1:15" s="83" customFormat="1" ht="12.75" x14ac:dyDescent="0.2">
      <c r="A35" s="56">
        <v>5</v>
      </c>
      <c r="B35" s="56" t="s">
        <v>537</v>
      </c>
      <c r="C35" s="44">
        <v>1.92</v>
      </c>
      <c r="D35" s="186">
        <f t="shared" si="6"/>
        <v>126.31578947368421</v>
      </c>
      <c r="E35" s="312">
        <v>16</v>
      </c>
      <c r="F35" s="325">
        <v>9</v>
      </c>
      <c r="G35" s="312">
        <v>119</v>
      </c>
      <c r="H35" s="325">
        <v>105</v>
      </c>
      <c r="I35" s="187">
        <v>47.84</v>
      </c>
      <c r="J35" s="188">
        <f t="shared" si="4"/>
        <v>0.84504575999999998</v>
      </c>
      <c r="K35" s="186">
        <f t="shared" si="7"/>
        <v>132.17295206520237</v>
      </c>
      <c r="L35" s="312">
        <v>8</v>
      </c>
      <c r="M35" s="187">
        <v>4.38</v>
      </c>
      <c r="N35" s="325">
        <v>672</v>
      </c>
      <c r="O35" s="190">
        <f t="shared" si="5"/>
        <v>24</v>
      </c>
    </row>
    <row r="36" spans="1:15" s="83" customFormat="1" ht="12.75" x14ac:dyDescent="0.2">
      <c r="A36" s="56">
        <v>6</v>
      </c>
      <c r="B36" s="56" t="s">
        <v>538</v>
      </c>
      <c r="C36" s="44">
        <v>2</v>
      </c>
      <c r="D36" s="186">
        <f t="shared" si="6"/>
        <v>131.57894736842104</v>
      </c>
      <c r="E36" s="312">
        <v>16</v>
      </c>
      <c r="F36" s="325">
        <v>9</v>
      </c>
      <c r="G36" s="312">
        <v>110</v>
      </c>
      <c r="H36" s="325">
        <v>105</v>
      </c>
      <c r="I36" s="187">
        <v>44.79</v>
      </c>
      <c r="J36" s="188">
        <f t="shared" si="4"/>
        <v>0.82413599999999998</v>
      </c>
      <c r="K36" s="186">
        <f t="shared" si="7"/>
        <v>128.90247271722615</v>
      </c>
      <c r="L36" s="312">
        <v>8</v>
      </c>
      <c r="M36" s="187">
        <v>3.98</v>
      </c>
      <c r="N36" s="325">
        <v>682</v>
      </c>
      <c r="O36" s="190">
        <f t="shared" si="5"/>
        <v>24</v>
      </c>
    </row>
    <row r="37" spans="1:15" s="83" customFormat="1" ht="12.75" x14ac:dyDescent="0.2">
      <c r="A37" s="56">
        <v>7</v>
      </c>
      <c r="B37" s="56" t="s">
        <v>539</v>
      </c>
      <c r="C37" s="44">
        <v>1.63</v>
      </c>
      <c r="D37" s="186">
        <f t="shared" si="6"/>
        <v>107.23684210526315</v>
      </c>
      <c r="E37" s="312">
        <v>12</v>
      </c>
      <c r="F37" s="325">
        <v>9</v>
      </c>
      <c r="G37" s="312">
        <v>114</v>
      </c>
      <c r="H37" s="325">
        <v>105</v>
      </c>
      <c r="I37" s="187">
        <v>44.36</v>
      </c>
      <c r="J37" s="188">
        <f t="shared" si="4"/>
        <v>0.6652225599999998</v>
      </c>
      <c r="K37" s="186">
        <f t="shared" si="7"/>
        <v>104.04694478979599</v>
      </c>
      <c r="L37" s="312">
        <v>5</v>
      </c>
      <c r="M37" s="187">
        <v>4.51</v>
      </c>
      <c r="N37" s="325">
        <v>673</v>
      </c>
      <c r="O37" s="190">
        <f t="shared" si="5"/>
        <v>17</v>
      </c>
    </row>
    <row r="38" spans="1:15" s="83" customFormat="1" ht="12.75" x14ac:dyDescent="0.2">
      <c r="A38" s="56">
        <v>8</v>
      </c>
      <c r="B38" s="56" t="s">
        <v>540</v>
      </c>
      <c r="C38" s="44">
        <v>1.44</v>
      </c>
      <c r="D38" s="186">
        <f t="shared" si="6"/>
        <v>94.73684210526315</v>
      </c>
      <c r="E38" s="312">
        <v>8</v>
      </c>
      <c r="F38" s="325">
        <v>9</v>
      </c>
      <c r="G38" s="312">
        <v>118</v>
      </c>
      <c r="H38" s="325">
        <v>105</v>
      </c>
      <c r="I38" s="187">
        <v>42.77</v>
      </c>
      <c r="J38" s="188">
        <f t="shared" si="4"/>
        <v>0.56661696000000006</v>
      </c>
      <c r="K38" s="186">
        <f t="shared" si="7"/>
        <v>88.624119353501868</v>
      </c>
      <c r="L38" s="312">
        <v>4</v>
      </c>
      <c r="M38" s="187">
        <v>4.13</v>
      </c>
      <c r="N38" s="325">
        <v>677</v>
      </c>
      <c r="O38" s="190">
        <f t="shared" si="5"/>
        <v>12</v>
      </c>
    </row>
    <row r="39" spans="1:15" s="83" customFormat="1" ht="12.75" x14ac:dyDescent="0.2">
      <c r="A39" s="56">
        <v>9</v>
      </c>
      <c r="B39" s="56" t="s">
        <v>541</v>
      </c>
      <c r="C39" s="44">
        <v>1.19</v>
      </c>
      <c r="D39" s="186">
        <f t="shared" si="6"/>
        <v>78.28947368421052</v>
      </c>
      <c r="E39" s="312">
        <v>6</v>
      </c>
      <c r="F39" s="325">
        <v>9</v>
      </c>
      <c r="G39" s="312">
        <v>112</v>
      </c>
      <c r="H39" s="325">
        <v>105</v>
      </c>
      <c r="I39" s="187">
        <v>43.77</v>
      </c>
      <c r="J39" s="188">
        <f t="shared" si="4"/>
        <v>0.47919396000000009</v>
      </c>
      <c r="K39" s="186">
        <f t="shared" si="7"/>
        <v>74.950355712114941</v>
      </c>
      <c r="L39" s="312">
        <v>2</v>
      </c>
      <c r="M39" s="187">
        <v>4.51</v>
      </c>
      <c r="N39" s="325">
        <v>678</v>
      </c>
      <c r="O39" s="190">
        <f t="shared" si="5"/>
        <v>8</v>
      </c>
    </row>
    <row r="40" spans="1:15" s="83" customFormat="1" ht="12.75" x14ac:dyDescent="0.2">
      <c r="A40" s="56">
        <v>10</v>
      </c>
      <c r="B40" s="56" t="s">
        <v>542</v>
      </c>
      <c r="C40" s="44">
        <v>0.95</v>
      </c>
      <c r="D40" s="186">
        <f t="shared" si="6"/>
        <v>62.5</v>
      </c>
      <c r="E40" s="312">
        <v>1</v>
      </c>
      <c r="F40" s="325">
        <v>9</v>
      </c>
      <c r="G40" s="312">
        <v>97</v>
      </c>
      <c r="H40" s="325">
        <v>105</v>
      </c>
      <c r="I40" s="187">
        <v>42.62</v>
      </c>
      <c r="J40" s="188">
        <f t="shared" si="4"/>
        <v>0.37249879999999991</v>
      </c>
      <c r="K40" s="186">
        <f t="shared" si="7"/>
        <v>58.262248468941365</v>
      </c>
      <c r="L40" s="312">
        <v>1</v>
      </c>
      <c r="M40" s="187">
        <v>4.58</v>
      </c>
      <c r="N40" s="325">
        <v>674</v>
      </c>
      <c r="O40" s="190">
        <f>SUM(E40+L40)</f>
        <v>2</v>
      </c>
    </row>
    <row r="41" spans="1:15" s="83" customFormat="1" ht="12.75" x14ac:dyDescent="0.2">
      <c r="A41" s="56">
        <v>11</v>
      </c>
      <c r="B41" s="56" t="s">
        <v>543</v>
      </c>
      <c r="C41" s="44">
        <v>1.0900000000000001</v>
      </c>
      <c r="D41" s="186">
        <f t="shared" si="6"/>
        <v>71.71052631578948</v>
      </c>
      <c r="E41" s="41">
        <v>4</v>
      </c>
      <c r="F41" s="325">
        <v>9</v>
      </c>
      <c r="G41" s="41">
        <v>97</v>
      </c>
      <c r="H41" s="325">
        <v>105</v>
      </c>
      <c r="I41" s="187">
        <v>40.049999999999997</v>
      </c>
      <c r="J41" s="188">
        <f t="shared" si="4"/>
        <v>0.40162139999999996</v>
      </c>
      <c r="K41" s="186">
        <f t="shared" si="7"/>
        <v>62.817291753004547</v>
      </c>
      <c r="L41" s="41">
        <v>1</v>
      </c>
      <c r="M41" s="187">
        <v>4.21</v>
      </c>
      <c r="N41" s="325">
        <v>679</v>
      </c>
      <c r="O41" s="190">
        <f t="shared" si="5"/>
        <v>5</v>
      </c>
    </row>
    <row r="42" spans="1:15" s="83" customFormat="1" ht="12.75" x14ac:dyDescent="0.2">
      <c r="A42" s="56">
        <v>12</v>
      </c>
      <c r="B42" s="56" t="s">
        <v>222</v>
      </c>
      <c r="C42" s="44">
        <v>1.48</v>
      </c>
      <c r="D42" s="186">
        <f t="shared" si="6"/>
        <v>97.368421052631575</v>
      </c>
      <c r="E42" s="41">
        <v>10</v>
      </c>
      <c r="F42" s="325">
        <v>9</v>
      </c>
      <c r="G42" s="41">
        <v>106</v>
      </c>
      <c r="H42" s="325">
        <v>105</v>
      </c>
      <c r="I42" s="187">
        <v>41.93</v>
      </c>
      <c r="J42" s="188">
        <f t="shared" si="4"/>
        <v>0.57091888000000002</v>
      </c>
      <c r="K42" s="186">
        <f t="shared" si="7"/>
        <v>89.296979324952815</v>
      </c>
      <c r="L42" s="41">
        <v>4</v>
      </c>
      <c r="M42" s="187">
        <v>4.4800000000000004</v>
      </c>
      <c r="N42" s="325">
        <v>679</v>
      </c>
      <c r="O42" s="190">
        <f t="shared" si="5"/>
        <v>14</v>
      </c>
    </row>
    <row r="43" spans="1:15" s="83" customFormat="1" ht="12.75" x14ac:dyDescent="0.2">
      <c r="A43" s="56">
        <v>13</v>
      </c>
      <c r="B43" s="56" t="s">
        <v>223</v>
      </c>
      <c r="C43" s="44">
        <v>1.57</v>
      </c>
      <c r="D43" s="186">
        <f t="shared" si="6"/>
        <v>103.28947368421052</v>
      </c>
      <c r="E43" s="41">
        <v>10</v>
      </c>
      <c r="F43" s="325">
        <v>9</v>
      </c>
      <c r="G43" s="41">
        <v>107</v>
      </c>
      <c r="H43" s="325">
        <v>105</v>
      </c>
      <c r="I43" s="187">
        <v>46.95</v>
      </c>
      <c r="J43" s="188">
        <f t="shared" si="4"/>
        <v>0.67814580000000002</v>
      </c>
      <c r="K43" s="186">
        <f t="shared" si="7"/>
        <v>106.06825873739467</v>
      </c>
      <c r="L43" s="41">
        <v>6</v>
      </c>
      <c r="M43" s="187">
        <v>4.99</v>
      </c>
      <c r="N43" s="325">
        <v>672</v>
      </c>
      <c r="O43" s="190">
        <f t="shared" si="5"/>
        <v>16</v>
      </c>
    </row>
    <row r="44" spans="1:15" s="83" customFormat="1" ht="12.75" x14ac:dyDescent="0.2">
      <c r="A44" s="56">
        <v>14</v>
      </c>
      <c r="B44" s="56" t="s">
        <v>224</v>
      </c>
      <c r="C44" s="44">
        <v>1.69</v>
      </c>
      <c r="D44" s="186">
        <f t="shared" si="6"/>
        <v>111.18421052631579</v>
      </c>
      <c r="E44" s="41">
        <v>12</v>
      </c>
      <c r="F44" s="325">
        <v>9</v>
      </c>
      <c r="G44" s="41">
        <v>97</v>
      </c>
      <c r="H44" s="325">
        <v>105</v>
      </c>
      <c r="I44" s="187">
        <v>45.12</v>
      </c>
      <c r="J44" s="188">
        <f t="shared" si="4"/>
        <v>0.70152576</v>
      </c>
      <c r="K44" s="186">
        <f t="shared" si="7"/>
        <v>109.72510015195468</v>
      </c>
      <c r="L44" s="41">
        <v>6</v>
      </c>
      <c r="M44" s="187">
        <v>4.24</v>
      </c>
      <c r="N44" s="325">
        <v>678</v>
      </c>
      <c r="O44" s="190">
        <f t="shared" si="5"/>
        <v>18</v>
      </c>
    </row>
    <row r="45" spans="1:15" s="83" customFormat="1" ht="12.75" x14ac:dyDescent="0.2">
      <c r="A45" s="56">
        <v>15</v>
      </c>
      <c r="B45" s="56" t="s">
        <v>544</v>
      </c>
      <c r="C45" s="44">
        <v>1.6</v>
      </c>
      <c r="D45" s="186">
        <f t="shared" si="6"/>
        <v>105.26315789473684</v>
      </c>
      <c r="E45" s="41">
        <v>10</v>
      </c>
      <c r="F45" s="325">
        <v>9</v>
      </c>
      <c r="G45" s="41">
        <v>106</v>
      </c>
      <c r="H45" s="325">
        <v>105</v>
      </c>
      <c r="I45" s="187">
        <v>43.34</v>
      </c>
      <c r="J45" s="188">
        <f t="shared" si="4"/>
        <v>0.63796480000000022</v>
      </c>
      <c r="K45" s="186">
        <f t="shared" si="7"/>
        <v>99.783579684118465</v>
      </c>
      <c r="L45" s="41">
        <v>5</v>
      </c>
      <c r="M45" s="187">
        <v>4.88</v>
      </c>
      <c r="N45" s="325">
        <v>680</v>
      </c>
      <c r="O45" s="190">
        <f t="shared" si="5"/>
        <v>15</v>
      </c>
    </row>
    <row r="46" spans="1:15" s="83" customFormat="1" ht="12.75" x14ac:dyDescent="0.2">
      <c r="A46" s="56">
        <v>16</v>
      </c>
      <c r="B46" s="56" t="s">
        <v>545</v>
      </c>
      <c r="C46" s="44">
        <v>1.52</v>
      </c>
      <c r="D46" s="186">
        <f t="shared" si="6"/>
        <v>100</v>
      </c>
      <c r="E46" s="41">
        <v>10</v>
      </c>
      <c r="F46" s="325">
        <v>9</v>
      </c>
      <c r="G46" s="41">
        <v>91</v>
      </c>
      <c r="H46" s="325">
        <v>105</v>
      </c>
      <c r="I46" s="187">
        <v>45.04</v>
      </c>
      <c r="J46" s="188">
        <f t="shared" si="4"/>
        <v>0.62983935999999996</v>
      </c>
      <c r="K46" s="186">
        <f t="shared" si="7"/>
        <v>98.5126859142607</v>
      </c>
      <c r="L46" s="41">
        <v>5</v>
      </c>
      <c r="M46" s="187">
        <v>4.84</v>
      </c>
      <c r="N46" s="325">
        <v>675</v>
      </c>
      <c r="O46" s="190">
        <f t="shared" si="5"/>
        <v>15</v>
      </c>
    </row>
    <row r="47" spans="1:15" s="83" customFormat="1" ht="12.75" x14ac:dyDescent="0.2">
      <c r="A47" s="56">
        <v>17</v>
      </c>
      <c r="B47" s="56" t="s">
        <v>546</v>
      </c>
      <c r="C47" s="44">
        <v>1.49</v>
      </c>
      <c r="D47" s="186">
        <f t="shared" si="6"/>
        <v>98.026315789473685</v>
      </c>
      <c r="E47" s="41">
        <v>10</v>
      </c>
      <c r="F47" s="325">
        <v>9</v>
      </c>
      <c r="G47" s="41">
        <v>107</v>
      </c>
      <c r="H47" s="325">
        <v>105</v>
      </c>
      <c r="I47" s="187">
        <v>44.82</v>
      </c>
      <c r="J47" s="188">
        <f t="shared" si="4"/>
        <v>0.61439255999999998</v>
      </c>
      <c r="K47" s="186">
        <f t="shared" si="7"/>
        <v>96.096663903854122</v>
      </c>
      <c r="L47" s="41">
        <v>5</v>
      </c>
      <c r="M47" s="187">
        <v>4.38</v>
      </c>
      <c r="N47" s="325">
        <v>676</v>
      </c>
      <c r="O47" s="190">
        <f t="shared" si="5"/>
        <v>15</v>
      </c>
    </row>
    <row r="48" spans="1:15" s="83" customFormat="1" ht="12.75" x14ac:dyDescent="0.2">
      <c r="A48" s="56">
        <v>18</v>
      </c>
      <c r="B48" s="56" t="s">
        <v>547</v>
      </c>
      <c r="C48" s="44">
        <v>1.74</v>
      </c>
      <c r="D48" s="186">
        <f t="shared" si="6"/>
        <v>114.47368421052632</v>
      </c>
      <c r="E48" s="41">
        <v>12</v>
      </c>
      <c r="F48" s="325">
        <v>9</v>
      </c>
      <c r="G48" s="41">
        <v>130</v>
      </c>
      <c r="H48" s="325">
        <v>105</v>
      </c>
      <c r="I48" s="187">
        <v>42.82</v>
      </c>
      <c r="J48" s="188">
        <f t="shared" si="4"/>
        <v>0.68546256000000017</v>
      </c>
      <c r="K48" s="186">
        <f t="shared" si="7"/>
        <v>107.21266749551044</v>
      </c>
      <c r="L48" s="41">
        <v>6</v>
      </c>
      <c r="M48" s="187">
        <v>4.82</v>
      </c>
      <c r="N48" s="325">
        <v>680</v>
      </c>
      <c r="O48" s="190">
        <f t="shared" si="5"/>
        <v>18</v>
      </c>
    </row>
    <row r="49" spans="1:15" s="83" customFormat="1" ht="12.75" x14ac:dyDescent="0.2">
      <c r="A49" s="56">
        <v>19</v>
      </c>
      <c r="B49" s="56" t="s">
        <v>548</v>
      </c>
      <c r="C49" s="44">
        <v>1.71</v>
      </c>
      <c r="D49" s="186">
        <f t="shared" si="6"/>
        <v>112.5</v>
      </c>
      <c r="E49" s="41">
        <v>12</v>
      </c>
      <c r="F49" s="325">
        <v>9</v>
      </c>
      <c r="G49" s="41">
        <v>103</v>
      </c>
      <c r="H49" s="325">
        <v>105</v>
      </c>
      <c r="I49" s="187">
        <v>43.07</v>
      </c>
      <c r="J49" s="188">
        <f t="shared" si="4"/>
        <v>0.67757723999999997</v>
      </c>
      <c r="K49" s="186">
        <f t="shared" si="7"/>
        <v>105.97933070866141</v>
      </c>
      <c r="L49" s="41">
        <v>6</v>
      </c>
      <c r="M49" s="187">
        <v>4.32</v>
      </c>
      <c r="N49" s="325">
        <v>677</v>
      </c>
      <c r="O49" s="190">
        <f t="shared" si="5"/>
        <v>18</v>
      </c>
    </row>
    <row r="50" spans="1:15" s="83" customFormat="1" ht="12.75" x14ac:dyDescent="0.2"/>
    <row r="51" spans="1:15" s="83" customFormat="1" ht="12.75" x14ac:dyDescent="0.2">
      <c r="A51" s="99" t="s">
        <v>64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5"/>
      <c r="L51" s="105"/>
      <c r="M51" s="105"/>
      <c r="N51" s="101"/>
      <c r="O51" s="38"/>
    </row>
    <row r="52" spans="1:15" s="83" customFormat="1" ht="12.75" x14ac:dyDescent="0.2">
      <c r="A52" s="254">
        <v>1</v>
      </c>
      <c r="B52" s="254" t="s">
        <v>79</v>
      </c>
      <c r="C52" s="249">
        <f>(2.6+2.52)/2</f>
        <v>2.56</v>
      </c>
      <c r="D52" s="251">
        <v>100</v>
      </c>
      <c r="E52" s="247">
        <v>10</v>
      </c>
      <c r="F52" s="247">
        <v>9</v>
      </c>
      <c r="G52" s="247">
        <f>(108+99)/2</f>
        <v>103.5</v>
      </c>
      <c r="H52" s="247">
        <v>102</v>
      </c>
      <c r="I52" s="250">
        <f>(45.27+44.49)/2</f>
        <v>44.88</v>
      </c>
      <c r="J52" s="249">
        <f>(((C52*92)/100)*I52)/100</f>
        <v>1.05701376</v>
      </c>
      <c r="K52" s="251">
        <v>100</v>
      </c>
      <c r="L52" s="247">
        <v>5</v>
      </c>
      <c r="M52" s="250">
        <f>(4.26+4.68)/2</f>
        <v>4.47</v>
      </c>
      <c r="N52" s="251">
        <f>(657+654)/2</f>
        <v>655.5</v>
      </c>
      <c r="O52" s="247">
        <f>SUM(E52+L52)</f>
        <v>15</v>
      </c>
    </row>
    <row r="53" spans="1:15" s="83" customFormat="1" ht="12.75" x14ac:dyDescent="0.2">
      <c r="A53" s="56">
        <v>2</v>
      </c>
      <c r="B53" s="56" t="s">
        <v>219</v>
      </c>
      <c r="C53" s="44">
        <v>2.66</v>
      </c>
      <c r="D53" s="42">
        <f>(C53*100)/C$52</f>
        <v>103.90625</v>
      </c>
      <c r="E53" s="41">
        <v>10</v>
      </c>
      <c r="F53" s="41">
        <v>9</v>
      </c>
      <c r="G53" s="41">
        <v>106</v>
      </c>
      <c r="H53" s="312">
        <v>102</v>
      </c>
      <c r="I53" s="187">
        <v>43.51</v>
      </c>
      <c r="J53" s="47">
        <f t="shared" ref="J53:J70" si="8">(((C53*92)/100)*I53)/100</f>
        <v>1.0647767200000002</v>
      </c>
      <c r="K53" s="42">
        <f>(J53*100)/J$53</f>
        <v>100</v>
      </c>
      <c r="L53" s="41">
        <v>5</v>
      </c>
      <c r="M53" s="187">
        <v>3.71</v>
      </c>
      <c r="N53" s="312">
        <v>670</v>
      </c>
      <c r="O53" s="49">
        <f t="shared" ref="O53:O70" si="9">SUM(E53+L53)</f>
        <v>15</v>
      </c>
    </row>
    <row r="54" spans="1:15" s="83" customFormat="1" ht="12.75" x14ac:dyDescent="0.2">
      <c r="A54" s="56">
        <v>3</v>
      </c>
      <c r="B54" s="56" t="s">
        <v>220</v>
      </c>
      <c r="C54" s="44">
        <v>2.57</v>
      </c>
      <c r="D54" s="186">
        <f t="shared" ref="D54:D70" si="10">(C54*100)/C$52</f>
        <v>100.390625</v>
      </c>
      <c r="E54" s="312">
        <v>10</v>
      </c>
      <c r="F54" s="312">
        <v>9</v>
      </c>
      <c r="G54" s="312">
        <v>99</v>
      </c>
      <c r="H54" s="312">
        <v>99</v>
      </c>
      <c r="I54" s="187">
        <v>45.09</v>
      </c>
      <c r="J54" s="188">
        <f t="shared" si="8"/>
        <v>1.0661079600000001</v>
      </c>
      <c r="K54" s="186">
        <f t="shared" ref="K54:K70" si="11">(J54*100)/J$53</f>
        <v>100.12502527290415</v>
      </c>
      <c r="L54" s="312">
        <v>5</v>
      </c>
      <c r="M54" s="187">
        <v>3.19</v>
      </c>
      <c r="N54" s="312">
        <v>651</v>
      </c>
      <c r="O54" s="190">
        <f t="shared" si="9"/>
        <v>15</v>
      </c>
    </row>
    <row r="55" spans="1:15" s="83" customFormat="1" ht="12.75" x14ac:dyDescent="0.2">
      <c r="A55" s="56">
        <v>4</v>
      </c>
      <c r="B55" s="56" t="s">
        <v>221</v>
      </c>
      <c r="C55" s="44">
        <v>2.78</v>
      </c>
      <c r="D55" s="186">
        <f t="shared" si="10"/>
        <v>108.59375</v>
      </c>
      <c r="E55" s="312">
        <v>12</v>
      </c>
      <c r="F55" s="312">
        <v>9</v>
      </c>
      <c r="G55" s="312">
        <v>103</v>
      </c>
      <c r="H55" s="312">
        <v>102</v>
      </c>
      <c r="I55" s="187">
        <v>44.43</v>
      </c>
      <c r="J55" s="188">
        <f t="shared" si="8"/>
        <v>1.1363416799999999</v>
      </c>
      <c r="K55" s="186">
        <f t="shared" si="11"/>
        <v>106.72112365491985</v>
      </c>
      <c r="L55" s="312">
        <v>6</v>
      </c>
      <c r="M55" s="187">
        <v>4.42</v>
      </c>
      <c r="N55" s="312">
        <v>641</v>
      </c>
      <c r="O55" s="190">
        <f t="shared" si="9"/>
        <v>18</v>
      </c>
    </row>
    <row r="56" spans="1:15" s="83" customFormat="1" ht="12.75" x14ac:dyDescent="0.2">
      <c r="A56" s="56">
        <v>5</v>
      </c>
      <c r="B56" s="56" t="s">
        <v>537</v>
      </c>
      <c r="C56" s="44">
        <v>2.78</v>
      </c>
      <c r="D56" s="186">
        <f t="shared" si="10"/>
        <v>108.59375</v>
      </c>
      <c r="E56" s="312">
        <v>12</v>
      </c>
      <c r="F56" s="312">
        <v>9</v>
      </c>
      <c r="G56" s="312">
        <v>108</v>
      </c>
      <c r="H56" s="312">
        <v>103</v>
      </c>
      <c r="I56" s="187">
        <v>45.41</v>
      </c>
      <c r="J56" s="188">
        <f t="shared" si="8"/>
        <v>1.1614061599999999</v>
      </c>
      <c r="K56" s="186">
        <f t="shared" si="11"/>
        <v>109.07508947040085</v>
      </c>
      <c r="L56" s="312">
        <v>6</v>
      </c>
      <c r="M56" s="187">
        <v>4.54</v>
      </c>
      <c r="N56" s="312">
        <v>652</v>
      </c>
      <c r="O56" s="190">
        <f t="shared" si="9"/>
        <v>18</v>
      </c>
    </row>
    <row r="57" spans="1:15" s="83" customFormat="1" ht="12.75" x14ac:dyDescent="0.2">
      <c r="A57" s="56">
        <v>6</v>
      </c>
      <c r="B57" s="56" t="s">
        <v>538</v>
      </c>
      <c r="C57" s="44">
        <v>2.7</v>
      </c>
      <c r="D57" s="186">
        <f t="shared" si="10"/>
        <v>105.46875</v>
      </c>
      <c r="E57" s="312">
        <v>10</v>
      </c>
      <c r="F57" s="312">
        <v>9</v>
      </c>
      <c r="G57" s="312">
        <v>103</v>
      </c>
      <c r="H57" s="312">
        <v>105</v>
      </c>
      <c r="I57" s="187">
        <v>43.04</v>
      </c>
      <c r="J57" s="188">
        <f t="shared" si="8"/>
        <v>1.0691136000000001</v>
      </c>
      <c r="K57" s="186">
        <f t="shared" si="11"/>
        <v>100.40730417171405</v>
      </c>
      <c r="L57" s="312">
        <v>5</v>
      </c>
      <c r="M57" s="187">
        <v>3.88</v>
      </c>
      <c r="N57" s="312">
        <v>655</v>
      </c>
      <c r="O57" s="190">
        <f t="shared" si="9"/>
        <v>15</v>
      </c>
    </row>
    <row r="58" spans="1:15" s="83" customFormat="1" ht="12.75" x14ac:dyDescent="0.2">
      <c r="A58" s="56">
        <v>7</v>
      </c>
      <c r="B58" s="56" t="s">
        <v>539</v>
      </c>
      <c r="C58" s="44">
        <v>2.82</v>
      </c>
      <c r="D58" s="186">
        <f t="shared" si="10"/>
        <v>110.15625</v>
      </c>
      <c r="E58" s="312">
        <v>12</v>
      </c>
      <c r="F58" s="312">
        <v>9</v>
      </c>
      <c r="G58" s="312">
        <v>98</v>
      </c>
      <c r="H58" s="312">
        <v>105</v>
      </c>
      <c r="I58" s="187">
        <v>43.06</v>
      </c>
      <c r="J58" s="188">
        <f t="shared" si="8"/>
        <v>1.1171486399999999</v>
      </c>
      <c r="K58" s="186">
        <f t="shared" si="11"/>
        <v>104.91858236720273</v>
      </c>
      <c r="L58" s="312">
        <v>5</v>
      </c>
      <c r="M58" s="187">
        <v>4.3</v>
      </c>
      <c r="N58" s="312">
        <v>662</v>
      </c>
      <c r="O58" s="190">
        <f t="shared" si="9"/>
        <v>17</v>
      </c>
    </row>
    <row r="59" spans="1:15" s="83" customFormat="1" ht="12.75" x14ac:dyDescent="0.2">
      <c r="A59" s="56">
        <v>8</v>
      </c>
      <c r="B59" s="56" t="s">
        <v>540</v>
      </c>
      <c r="C59" s="44">
        <v>2.66</v>
      </c>
      <c r="D59" s="186">
        <f t="shared" si="10"/>
        <v>103.90625</v>
      </c>
      <c r="E59" s="312">
        <v>10</v>
      </c>
      <c r="F59" s="312">
        <v>9</v>
      </c>
      <c r="G59" s="312">
        <v>105</v>
      </c>
      <c r="H59" s="312">
        <v>104</v>
      </c>
      <c r="I59" s="187">
        <v>42.99</v>
      </c>
      <c r="J59" s="188">
        <f t="shared" si="8"/>
        <v>1.0520512800000004</v>
      </c>
      <c r="K59" s="186">
        <f t="shared" si="11"/>
        <v>98.804872443116537</v>
      </c>
      <c r="L59" s="312">
        <v>5</v>
      </c>
      <c r="M59" s="187">
        <v>3.93</v>
      </c>
      <c r="N59" s="312">
        <v>663</v>
      </c>
      <c r="O59" s="190">
        <f t="shared" si="9"/>
        <v>15</v>
      </c>
    </row>
    <row r="60" spans="1:15" s="83" customFormat="1" ht="12.75" x14ac:dyDescent="0.2">
      <c r="A60" s="56">
        <v>9</v>
      </c>
      <c r="B60" s="56" t="s">
        <v>541</v>
      </c>
      <c r="C60" s="44">
        <v>2.57</v>
      </c>
      <c r="D60" s="186">
        <f t="shared" si="10"/>
        <v>100.390625</v>
      </c>
      <c r="E60" s="312">
        <v>10</v>
      </c>
      <c r="F60" s="312">
        <v>9</v>
      </c>
      <c r="G60" s="312">
        <v>98</v>
      </c>
      <c r="H60" s="312">
        <v>102</v>
      </c>
      <c r="I60" s="187">
        <v>44.08</v>
      </c>
      <c r="J60" s="188">
        <f t="shared" si="8"/>
        <v>1.04222752</v>
      </c>
      <c r="K60" s="186">
        <f t="shared" si="11"/>
        <v>97.882260235742166</v>
      </c>
      <c r="L60" s="312">
        <v>5</v>
      </c>
      <c r="M60" s="187">
        <v>4.5999999999999996</v>
      </c>
      <c r="N60" s="312">
        <v>674</v>
      </c>
      <c r="O60" s="190">
        <f t="shared" si="9"/>
        <v>15</v>
      </c>
    </row>
    <row r="61" spans="1:15" s="83" customFormat="1" ht="12.75" x14ac:dyDescent="0.2">
      <c r="A61" s="56">
        <v>10</v>
      </c>
      <c r="B61" s="56" t="s">
        <v>542</v>
      </c>
      <c r="C61" s="44">
        <v>2.9</v>
      </c>
      <c r="D61" s="186">
        <f t="shared" si="10"/>
        <v>113.28125</v>
      </c>
      <c r="E61" s="312">
        <v>12</v>
      </c>
      <c r="F61" s="312">
        <v>9</v>
      </c>
      <c r="G61" s="312">
        <v>103</v>
      </c>
      <c r="H61" s="312">
        <v>101</v>
      </c>
      <c r="I61" s="187">
        <v>45.79</v>
      </c>
      <c r="J61" s="188">
        <f t="shared" si="8"/>
        <v>1.2216772</v>
      </c>
      <c r="K61" s="186">
        <f t="shared" si="11"/>
        <v>114.73552877827755</v>
      </c>
      <c r="L61" s="312">
        <v>6</v>
      </c>
      <c r="M61" s="187">
        <v>4.29</v>
      </c>
      <c r="N61" s="312">
        <v>642</v>
      </c>
      <c r="O61" s="190">
        <f t="shared" si="9"/>
        <v>18</v>
      </c>
    </row>
    <row r="62" spans="1:15" s="83" customFormat="1" ht="12.75" x14ac:dyDescent="0.2">
      <c r="A62" s="56">
        <v>11</v>
      </c>
      <c r="B62" s="56" t="s">
        <v>543</v>
      </c>
      <c r="C62" s="44">
        <v>2.95</v>
      </c>
      <c r="D62" s="186">
        <f t="shared" si="10"/>
        <v>115.234375</v>
      </c>
      <c r="E62" s="41">
        <v>12</v>
      </c>
      <c r="F62" s="41">
        <v>9</v>
      </c>
      <c r="G62" s="41">
        <v>101</v>
      </c>
      <c r="H62" s="312">
        <v>102</v>
      </c>
      <c r="I62" s="187">
        <v>44.09</v>
      </c>
      <c r="J62" s="188">
        <f t="shared" si="8"/>
        <v>1.1966026000000003</v>
      </c>
      <c r="K62" s="186">
        <f t="shared" si="11"/>
        <v>112.38061252879383</v>
      </c>
      <c r="L62" s="41">
        <v>6</v>
      </c>
      <c r="M62" s="187">
        <v>3.93</v>
      </c>
      <c r="N62" s="312">
        <v>678</v>
      </c>
      <c r="O62" s="190">
        <f t="shared" si="9"/>
        <v>18</v>
      </c>
    </row>
    <row r="63" spans="1:15" s="83" customFormat="1" ht="12.75" x14ac:dyDescent="0.2">
      <c r="A63" s="56">
        <v>12</v>
      </c>
      <c r="B63" s="56" t="s">
        <v>222</v>
      </c>
      <c r="C63" s="44">
        <v>2.85</v>
      </c>
      <c r="D63" s="186">
        <f t="shared" si="10"/>
        <v>111.328125</v>
      </c>
      <c r="E63" s="41">
        <v>12</v>
      </c>
      <c r="F63" s="41">
        <v>9</v>
      </c>
      <c r="G63" s="41">
        <v>98</v>
      </c>
      <c r="H63" s="312">
        <v>101</v>
      </c>
      <c r="I63" s="187">
        <v>43.06</v>
      </c>
      <c r="J63" s="188">
        <f t="shared" si="8"/>
        <v>1.1290332000000001</v>
      </c>
      <c r="K63" s="186">
        <f t="shared" si="11"/>
        <v>106.03473749876873</v>
      </c>
      <c r="L63" s="41">
        <v>6</v>
      </c>
      <c r="M63" s="187">
        <v>3.87</v>
      </c>
      <c r="N63" s="312">
        <v>647</v>
      </c>
      <c r="O63" s="190">
        <f t="shared" si="9"/>
        <v>18</v>
      </c>
    </row>
    <row r="64" spans="1:15" s="83" customFormat="1" ht="12.75" x14ac:dyDescent="0.2">
      <c r="A64" s="56">
        <v>13</v>
      </c>
      <c r="B64" s="56" t="s">
        <v>223</v>
      </c>
      <c r="C64" s="44">
        <v>2.85</v>
      </c>
      <c r="D64" s="186">
        <f t="shared" si="10"/>
        <v>111.328125</v>
      </c>
      <c r="E64" s="41">
        <v>12</v>
      </c>
      <c r="F64" s="41">
        <v>9</v>
      </c>
      <c r="G64" s="41">
        <v>98</v>
      </c>
      <c r="H64" s="312">
        <v>104</v>
      </c>
      <c r="I64" s="187">
        <v>46.34</v>
      </c>
      <c r="J64" s="188">
        <f t="shared" si="8"/>
        <v>1.2150348000000002</v>
      </c>
      <c r="K64" s="186">
        <f t="shared" si="11"/>
        <v>114.1116984601241</v>
      </c>
      <c r="L64" s="41">
        <v>6</v>
      </c>
      <c r="M64" s="187">
        <v>4.91</v>
      </c>
      <c r="N64" s="312">
        <v>666</v>
      </c>
      <c r="O64" s="190">
        <f t="shared" si="9"/>
        <v>18</v>
      </c>
    </row>
    <row r="65" spans="1:15" s="83" customFormat="1" ht="12.75" x14ac:dyDescent="0.2">
      <c r="A65" s="56">
        <v>14</v>
      </c>
      <c r="B65" s="56" t="s">
        <v>224</v>
      </c>
      <c r="C65" s="44">
        <v>2.93</v>
      </c>
      <c r="D65" s="186">
        <f t="shared" si="10"/>
        <v>114.453125</v>
      </c>
      <c r="E65" s="41">
        <v>12</v>
      </c>
      <c r="F65" s="41">
        <v>9</v>
      </c>
      <c r="G65" s="41">
        <v>93</v>
      </c>
      <c r="H65" s="312">
        <v>101</v>
      </c>
      <c r="I65" s="187">
        <v>45.46</v>
      </c>
      <c r="J65" s="188">
        <f t="shared" si="8"/>
        <v>1.2254197600000001</v>
      </c>
      <c r="K65" s="186">
        <f t="shared" si="11"/>
        <v>115.08701655310418</v>
      </c>
      <c r="L65" s="41">
        <v>6</v>
      </c>
      <c r="M65" s="187">
        <v>4.53</v>
      </c>
      <c r="N65" s="312">
        <v>679</v>
      </c>
      <c r="O65" s="190">
        <f t="shared" si="9"/>
        <v>18</v>
      </c>
    </row>
    <row r="66" spans="1:15" s="83" customFormat="1" ht="12.75" x14ac:dyDescent="0.2">
      <c r="A66" s="56">
        <v>15</v>
      </c>
      <c r="B66" s="56" t="s">
        <v>544</v>
      </c>
      <c r="C66" s="44">
        <v>2.61</v>
      </c>
      <c r="D66" s="186">
        <f t="shared" si="10"/>
        <v>101.953125</v>
      </c>
      <c r="E66" s="41">
        <v>10</v>
      </c>
      <c r="F66" s="41">
        <v>9</v>
      </c>
      <c r="G66" s="41">
        <v>91</v>
      </c>
      <c r="H66" s="312">
        <v>104</v>
      </c>
      <c r="I66" s="187">
        <v>44.12</v>
      </c>
      <c r="J66" s="188">
        <f t="shared" si="8"/>
        <v>1.0594094399999998</v>
      </c>
      <c r="K66" s="186">
        <f t="shared" si="11"/>
        <v>99.495924366190096</v>
      </c>
      <c r="L66" s="41">
        <v>5</v>
      </c>
      <c r="M66" s="187">
        <v>3.82</v>
      </c>
      <c r="N66" s="312">
        <v>655</v>
      </c>
      <c r="O66" s="190">
        <f t="shared" si="9"/>
        <v>15</v>
      </c>
    </row>
    <row r="67" spans="1:15" s="83" customFormat="1" ht="12.75" x14ac:dyDescent="0.2">
      <c r="A67" s="56">
        <v>16</v>
      </c>
      <c r="B67" s="56" t="s">
        <v>545</v>
      </c>
      <c r="C67" s="44">
        <v>2.56</v>
      </c>
      <c r="D67" s="186">
        <f t="shared" si="10"/>
        <v>100</v>
      </c>
      <c r="E67" s="41">
        <v>10</v>
      </c>
      <c r="F67" s="41">
        <v>9</v>
      </c>
      <c r="G67" s="41">
        <v>88</v>
      </c>
      <c r="H67" s="312">
        <v>98</v>
      </c>
      <c r="I67" s="187">
        <v>45.05</v>
      </c>
      <c r="J67" s="188">
        <f t="shared" si="8"/>
        <v>1.0610175999999998</v>
      </c>
      <c r="K67" s="186">
        <f t="shared" si="11"/>
        <v>99.646956969532511</v>
      </c>
      <c r="L67" s="41">
        <v>5</v>
      </c>
      <c r="M67" s="187">
        <v>3.83</v>
      </c>
      <c r="N67" s="312">
        <v>647</v>
      </c>
      <c r="O67" s="190">
        <f t="shared" si="9"/>
        <v>15</v>
      </c>
    </row>
    <row r="68" spans="1:15" s="83" customFormat="1" ht="12.75" x14ac:dyDescent="0.2">
      <c r="A68" s="56">
        <v>17</v>
      </c>
      <c r="B68" s="56" t="s">
        <v>546</v>
      </c>
      <c r="C68" s="44">
        <v>2.48</v>
      </c>
      <c r="D68" s="186">
        <f t="shared" si="10"/>
        <v>96.875</v>
      </c>
      <c r="E68" s="41">
        <v>10</v>
      </c>
      <c r="F68" s="41">
        <v>9</v>
      </c>
      <c r="G68" s="41">
        <v>103</v>
      </c>
      <c r="H68" s="312">
        <v>97</v>
      </c>
      <c r="I68" s="187">
        <v>44.24</v>
      </c>
      <c r="J68" s="188">
        <f t="shared" si="8"/>
        <v>1.0093798400000003</v>
      </c>
      <c r="K68" s="186">
        <f t="shared" si="11"/>
        <v>94.797324269073059</v>
      </c>
      <c r="L68" s="41">
        <v>4</v>
      </c>
      <c r="M68" s="187">
        <v>3.94</v>
      </c>
      <c r="N68" s="312">
        <v>653</v>
      </c>
      <c r="O68" s="190">
        <f t="shared" si="9"/>
        <v>14</v>
      </c>
    </row>
    <row r="69" spans="1:15" s="83" customFormat="1" ht="12.75" x14ac:dyDescent="0.2">
      <c r="A69" s="56">
        <v>18</v>
      </c>
      <c r="B69" s="56" t="s">
        <v>547</v>
      </c>
      <c r="C69" s="44">
        <v>3.01</v>
      </c>
      <c r="D69" s="186">
        <f t="shared" si="10"/>
        <v>117.578125</v>
      </c>
      <c r="E69" s="41">
        <v>14</v>
      </c>
      <c r="F69" s="41">
        <v>9</v>
      </c>
      <c r="G69" s="41">
        <v>106</v>
      </c>
      <c r="H69" s="312">
        <v>98</v>
      </c>
      <c r="I69" s="187">
        <v>44.49</v>
      </c>
      <c r="J69" s="188">
        <f t="shared" si="8"/>
        <v>1.2320170799999999</v>
      </c>
      <c r="K69" s="186">
        <f t="shared" si="11"/>
        <v>115.70661311979093</v>
      </c>
      <c r="L69" s="41">
        <v>7</v>
      </c>
      <c r="M69" s="187">
        <v>4.67</v>
      </c>
      <c r="N69" s="312">
        <v>652</v>
      </c>
      <c r="O69" s="190">
        <f t="shared" si="9"/>
        <v>21</v>
      </c>
    </row>
    <row r="70" spans="1:15" s="83" customFormat="1" ht="12.75" x14ac:dyDescent="0.2">
      <c r="A70" s="56">
        <v>19</v>
      </c>
      <c r="B70" s="56" t="s">
        <v>548</v>
      </c>
      <c r="C70" s="44">
        <v>2.59</v>
      </c>
      <c r="D70" s="186">
        <f t="shared" si="10"/>
        <v>101.171875</v>
      </c>
      <c r="E70" s="41">
        <v>10</v>
      </c>
      <c r="F70" s="41">
        <v>9</v>
      </c>
      <c r="G70" s="41">
        <v>103</v>
      </c>
      <c r="H70" s="312">
        <v>98</v>
      </c>
      <c r="I70" s="187">
        <v>42.76</v>
      </c>
      <c r="J70" s="188">
        <f t="shared" si="8"/>
        <v>1.0188852799999999</v>
      </c>
      <c r="K70" s="186">
        <f t="shared" si="11"/>
        <v>95.690041006907038</v>
      </c>
      <c r="L70" s="41">
        <v>5</v>
      </c>
      <c r="M70" s="187">
        <v>3.81</v>
      </c>
      <c r="N70" s="312">
        <v>650</v>
      </c>
      <c r="O70" s="190">
        <f t="shared" si="9"/>
        <v>15</v>
      </c>
    </row>
    <row r="71" spans="1:15" s="83" customFormat="1" ht="12.75" x14ac:dyDescent="0.2"/>
    <row r="72" spans="1:15" s="83" customFormat="1" ht="12.75" x14ac:dyDescent="0.2">
      <c r="A72" s="99" t="s">
        <v>293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5"/>
      <c r="L72" s="105"/>
      <c r="M72" s="105"/>
      <c r="N72" s="101"/>
      <c r="O72" s="38"/>
    </row>
    <row r="73" spans="1:15" s="83" customFormat="1" ht="12.75" x14ac:dyDescent="0.2">
      <c r="A73" s="254">
        <v>1</v>
      </c>
      <c r="B73" s="254" t="s">
        <v>79</v>
      </c>
      <c r="C73" s="249">
        <f>SUM(C10+C31+C52)/3</f>
        <v>1.8183333333333334</v>
      </c>
      <c r="D73" s="251">
        <v>100</v>
      </c>
      <c r="E73" s="247">
        <v>10</v>
      </c>
      <c r="F73" s="251">
        <f t="shared" ref="F73:I74" si="12">SUM(F10+F31+F52)/3</f>
        <v>9</v>
      </c>
      <c r="G73" s="251">
        <f t="shared" si="12"/>
        <v>117</v>
      </c>
      <c r="H73" s="252">
        <f t="shared" si="12"/>
        <v>102.66666666666667</v>
      </c>
      <c r="I73" s="250">
        <f t="shared" si="12"/>
        <v>44.731666666666662</v>
      </c>
      <c r="J73" s="249">
        <f>(((C73*92)/100)*I73)/100</f>
        <v>0.74830114111111101</v>
      </c>
      <c r="K73" s="251">
        <v>100</v>
      </c>
      <c r="L73" s="247">
        <v>5</v>
      </c>
      <c r="M73" s="250">
        <f>SUM(M10+M31+M52)/3</f>
        <v>4.5316666666666663</v>
      </c>
      <c r="N73" s="251">
        <f>SUM(N10+N31+N52)/3</f>
        <v>663</v>
      </c>
      <c r="O73" s="247">
        <f>SUM(E73+L73)</f>
        <v>15</v>
      </c>
    </row>
    <row r="74" spans="1:15" s="83" customFormat="1" ht="12.75" x14ac:dyDescent="0.2">
      <c r="A74" s="56">
        <v>2</v>
      </c>
      <c r="B74" s="56" t="s">
        <v>219</v>
      </c>
      <c r="C74" s="47">
        <f>SUM(C11+C32+C53)/3</f>
        <v>1.9800000000000002</v>
      </c>
      <c r="D74" s="48">
        <f>(C74*100)/C$73</f>
        <v>108.890925756187</v>
      </c>
      <c r="E74" s="49">
        <v>12</v>
      </c>
      <c r="F74" s="48">
        <f t="shared" si="12"/>
        <v>9</v>
      </c>
      <c r="G74" s="48">
        <f t="shared" si="12"/>
        <v>115.33333333333333</v>
      </c>
      <c r="H74" s="59">
        <f t="shared" si="12"/>
        <v>102.66666666666667</v>
      </c>
      <c r="I74" s="50">
        <f t="shared" si="12"/>
        <v>42.76</v>
      </c>
      <c r="J74" s="47">
        <f t="shared" ref="J74:J91" si="13">(((C74*92)/100)*I74)/100</f>
        <v>0.77891616000000008</v>
      </c>
      <c r="K74" s="48">
        <f>(J74*100)/J$73</f>
        <v>104.09126983869497</v>
      </c>
      <c r="L74" s="49">
        <v>5</v>
      </c>
      <c r="M74" s="191">
        <f>SUM(M11+M32+M53)/3</f>
        <v>3.7433333333333336</v>
      </c>
      <c r="N74" s="48">
        <f>SUM(N11+N32+N53)/3</f>
        <v>678.33333333333337</v>
      </c>
      <c r="O74" s="49">
        <f t="shared" ref="O74:O91" si="14">SUM(E74+L74)</f>
        <v>17</v>
      </c>
    </row>
    <row r="75" spans="1:15" s="83" customFormat="1" ht="12.75" x14ac:dyDescent="0.2">
      <c r="A75" s="56">
        <v>3</v>
      </c>
      <c r="B75" s="56" t="s">
        <v>220</v>
      </c>
      <c r="C75" s="188">
        <f t="shared" ref="C75:C91" si="15">SUM(C12+C33+C54)/3</f>
        <v>2.0066666666666664</v>
      </c>
      <c r="D75" s="189">
        <f t="shared" ref="D75:D91" si="16">(C75*100)/C$73</f>
        <v>110.35747021081575</v>
      </c>
      <c r="E75" s="190">
        <v>12</v>
      </c>
      <c r="F75" s="189">
        <f t="shared" ref="F75:I75" si="17">SUM(F12+F33+F54)/3</f>
        <v>9</v>
      </c>
      <c r="G75" s="189">
        <f t="shared" si="17"/>
        <v>108</v>
      </c>
      <c r="H75" s="194">
        <f t="shared" si="17"/>
        <v>101.33333333333333</v>
      </c>
      <c r="I75" s="191">
        <f t="shared" si="17"/>
        <v>45.140000000000008</v>
      </c>
      <c r="J75" s="188">
        <f t="shared" si="13"/>
        <v>0.83334458666666678</v>
      </c>
      <c r="K75" s="189">
        <f t="shared" ref="K75:K91" si="18">(J75*100)/J$73</f>
        <v>111.36486915271564</v>
      </c>
      <c r="L75" s="190">
        <v>6</v>
      </c>
      <c r="M75" s="191">
        <f t="shared" ref="M75:N91" si="19">SUM(M12+M33+M54)/3</f>
        <v>3.3466666666666662</v>
      </c>
      <c r="N75" s="189">
        <f t="shared" si="19"/>
        <v>659.33333333333337</v>
      </c>
      <c r="O75" s="190">
        <f t="shared" si="14"/>
        <v>18</v>
      </c>
    </row>
    <row r="76" spans="1:15" s="83" customFormat="1" ht="12.75" x14ac:dyDescent="0.2">
      <c r="A76" s="56">
        <v>4</v>
      </c>
      <c r="B76" s="56" t="s">
        <v>221</v>
      </c>
      <c r="C76" s="188">
        <f t="shared" si="15"/>
        <v>2.0833333333333335</v>
      </c>
      <c r="D76" s="189">
        <f t="shared" si="16"/>
        <v>114.57378551787352</v>
      </c>
      <c r="E76" s="190">
        <v>12</v>
      </c>
      <c r="F76" s="189">
        <f t="shared" ref="F76:I76" si="20">SUM(F13+F34+F55)/3</f>
        <v>9</v>
      </c>
      <c r="G76" s="189">
        <f t="shared" si="20"/>
        <v>115.33333333333333</v>
      </c>
      <c r="H76" s="194">
        <f t="shared" si="20"/>
        <v>102.66666666666667</v>
      </c>
      <c r="I76" s="191">
        <f t="shared" si="20"/>
        <v>44.526666666666671</v>
      </c>
      <c r="J76" s="188">
        <f t="shared" si="13"/>
        <v>0.85342777777777801</v>
      </c>
      <c r="K76" s="189">
        <f t="shared" si="18"/>
        <v>114.04870725047542</v>
      </c>
      <c r="L76" s="190">
        <v>6</v>
      </c>
      <c r="M76" s="191">
        <f t="shared" si="19"/>
        <v>4.3266666666666671</v>
      </c>
      <c r="N76" s="189">
        <f t="shared" si="19"/>
        <v>655</v>
      </c>
      <c r="O76" s="190">
        <f t="shared" si="14"/>
        <v>18</v>
      </c>
    </row>
    <row r="77" spans="1:15" s="83" customFormat="1" ht="12.75" x14ac:dyDescent="0.2">
      <c r="A77" s="56">
        <v>5</v>
      </c>
      <c r="B77" s="56" t="s">
        <v>537</v>
      </c>
      <c r="C77" s="188">
        <f t="shared" si="15"/>
        <v>2.0733333333333333</v>
      </c>
      <c r="D77" s="189">
        <f t="shared" si="16"/>
        <v>114.02383134738771</v>
      </c>
      <c r="E77" s="190">
        <v>12</v>
      </c>
      <c r="F77" s="189">
        <f t="shared" ref="F77:I77" si="21">SUM(F14+F35+F56)/3</f>
        <v>9</v>
      </c>
      <c r="G77" s="189">
        <f t="shared" si="21"/>
        <v>118.66666666666667</v>
      </c>
      <c r="H77" s="194">
        <f t="shared" si="21"/>
        <v>103</v>
      </c>
      <c r="I77" s="191">
        <f t="shared" si="21"/>
        <v>45.933333333333337</v>
      </c>
      <c r="J77" s="188">
        <f t="shared" si="13"/>
        <v>0.87616302222222231</v>
      </c>
      <c r="K77" s="189">
        <f t="shared" si="18"/>
        <v>117.0869552492271</v>
      </c>
      <c r="L77" s="190">
        <v>7</v>
      </c>
      <c r="M77" s="191">
        <f t="shared" si="19"/>
        <v>4.34</v>
      </c>
      <c r="N77" s="189">
        <f t="shared" si="19"/>
        <v>659.66666666666663</v>
      </c>
      <c r="O77" s="190">
        <f t="shared" si="14"/>
        <v>19</v>
      </c>
    </row>
    <row r="78" spans="1:15" s="83" customFormat="1" ht="12.75" x14ac:dyDescent="0.2">
      <c r="A78" s="56">
        <v>6</v>
      </c>
      <c r="B78" s="56" t="s">
        <v>538</v>
      </c>
      <c r="C78" s="188">
        <f t="shared" si="15"/>
        <v>2.0466666666666669</v>
      </c>
      <c r="D78" s="189">
        <f t="shared" si="16"/>
        <v>112.55728689275895</v>
      </c>
      <c r="E78" s="190">
        <v>12</v>
      </c>
      <c r="F78" s="189">
        <f t="shared" ref="F78:I78" si="22">SUM(F15+F36+F57)/3</f>
        <v>9</v>
      </c>
      <c r="G78" s="189">
        <f t="shared" si="22"/>
        <v>110.66666666666667</v>
      </c>
      <c r="H78" s="194">
        <f t="shared" si="22"/>
        <v>103.66666666666667</v>
      </c>
      <c r="I78" s="191">
        <f t="shared" si="22"/>
        <v>43.363333333333337</v>
      </c>
      <c r="J78" s="188">
        <f t="shared" si="13"/>
        <v>0.81650265777777786</v>
      </c>
      <c r="K78" s="189">
        <f t="shared" si="18"/>
        <v>109.11418049762669</v>
      </c>
      <c r="L78" s="190">
        <v>6</v>
      </c>
      <c r="M78" s="191">
        <f t="shared" si="19"/>
        <v>3.8066666666666666</v>
      </c>
      <c r="N78" s="189">
        <f t="shared" si="19"/>
        <v>666.66666666666663</v>
      </c>
      <c r="O78" s="190">
        <f t="shared" si="14"/>
        <v>18</v>
      </c>
    </row>
    <row r="79" spans="1:15" s="83" customFormat="1" ht="12.75" x14ac:dyDescent="0.2">
      <c r="A79" s="56">
        <v>7</v>
      </c>
      <c r="B79" s="56" t="s">
        <v>539</v>
      </c>
      <c r="C79" s="188">
        <f t="shared" si="15"/>
        <v>2.1033333333333335</v>
      </c>
      <c r="D79" s="189">
        <f t="shared" si="16"/>
        <v>115.6736938588451</v>
      </c>
      <c r="E79" s="190">
        <v>14</v>
      </c>
      <c r="F79" s="189">
        <f t="shared" ref="F79:I79" si="23">SUM(F16+F37+F58)/3</f>
        <v>9</v>
      </c>
      <c r="G79" s="189">
        <f t="shared" si="23"/>
        <v>107.33333333333333</v>
      </c>
      <c r="H79" s="194">
        <f t="shared" si="23"/>
        <v>103.66666666666667</v>
      </c>
      <c r="I79" s="191">
        <f t="shared" si="23"/>
        <v>42.973333333333336</v>
      </c>
      <c r="J79" s="188">
        <f t="shared" si="13"/>
        <v>0.83156264888888909</v>
      </c>
      <c r="K79" s="189">
        <f t="shared" si="18"/>
        <v>111.12673804748549</v>
      </c>
      <c r="L79" s="190">
        <v>6</v>
      </c>
      <c r="M79" s="191">
        <f t="shared" si="19"/>
        <v>4.2300000000000004</v>
      </c>
      <c r="N79" s="189">
        <f t="shared" si="19"/>
        <v>669.66666666666663</v>
      </c>
      <c r="O79" s="190">
        <f t="shared" si="14"/>
        <v>20</v>
      </c>
    </row>
    <row r="80" spans="1:15" s="83" customFormat="1" ht="12.75" x14ac:dyDescent="0.2">
      <c r="A80" s="56">
        <v>8</v>
      </c>
      <c r="B80" s="56" t="s">
        <v>540</v>
      </c>
      <c r="C80" s="188">
        <f t="shared" si="15"/>
        <v>1.8566666666666667</v>
      </c>
      <c r="D80" s="189">
        <f t="shared" si="16"/>
        <v>102.10815765352886</v>
      </c>
      <c r="E80" s="190">
        <v>10</v>
      </c>
      <c r="F80" s="189">
        <f t="shared" ref="F80:I80" si="24">SUM(F17+F38+F59)/3</f>
        <v>9</v>
      </c>
      <c r="G80" s="189">
        <f t="shared" si="24"/>
        <v>116.33333333333333</v>
      </c>
      <c r="H80" s="194">
        <f t="shared" si="24"/>
        <v>103.66666666666667</v>
      </c>
      <c r="I80" s="191">
        <f t="shared" si="24"/>
        <v>42.716666666666669</v>
      </c>
      <c r="J80" s="188">
        <f t="shared" si="13"/>
        <v>0.72965762222222219</v>
      </c>
      <c r="K80" s="189">
        <f t="shared" si="18"/>
        <v>97.508553994558127</v>
      </c>
      <c r="L80" s="190">
        <v>5</v>
      </c>
      <c r="M80" s="191">
        <f t="shared" si="19"/>
        <v>3.89</v>
      </c>
      <c r="N80" s="189">
        <f t="shared" si="19"/>
        <v>669</v>
      </c>
      <c r="O80" s="190">
        <f t="shared" si="14"/>
        <v>15</v>
      </c>
    </row>
    <row r="81" spans="1:15" s="83" customFormat="1" ht="12.75" x14ac:dyDescent="0.2">
      <c r="A81" s="56">
        <v>9</v>
      </c>
      <c r="B81" s="56" t="s">
        <v>541</v>
      </c>
      <c r="C81" s="188">
        <f t="shared" si="15"/>
        <v>1.8099999999999998</v>
      </c>
      <c r="D81" s="189">
        <f t="shared" si="16"/>
        <v>99.541704857928494</v>
      </c>
      <c r="E81" s="190">
        <v>10</v>
      </c>
      <c r="F81" s="189">
        <f t="shared" ref="F81:I81" si="25">SUM(F18+F39+F60)/3</f>
        <v>9</v>
      </c>
      <c r="G81" s="189">
        <f t="shared" si="25"/>
        <v>106.66666666666667</v>
      </c>
      <c r="H81" s="194">
        <f t="shared" si="25"/>
        <v>102.33333333333333</v>
      </c>
      <c r="I81" s="191">
        <f t="shared" si="25"/>
        <v>44.109999999999992</v>
      </c>
      <c r="J81" s="188">
        <f t="shared" si="13"/>
        <v>0.73451971999999988</v>
      </c>
      <c r="K81" s="189">
        <f t="shared" si="18"/>
        <v>98.158305479709966</v>
      </c>
      <c r="L81" s="190">
        <v>5</v>
      </c>
      <c r="M81" s="191">
        <f t="shared" si="19"/>
        <v>4.2700000000000005</v>
      </c>
      <c r="N81" s="189">
        <f t="shared" si="19"/>
        <v>676</v>
      </c>
      <c r="O81" s="190">
        <f t="shared" si="14"/>
        <v>15</v>
      </c>
    </row>
    <row r="82" spans="1:15" s="83" customFormat="1" ht="12.75" x14ac:dyDescent="0.2">
      <c r="A82" s="56">
        <v>10</v>
      </c>
      <c r="B82" s="56" t="s">
        <v>542</v>
      </c>
      <c r="C82" s="188">
        <f t="shared" si="15"/>
        <v>1.7299999999999998</v>
      </c>
      <c r="D82" s="189">
        <f t="shared" si="16"/>
        <v>95.142071494042142</v>
      </c>
      <c r="E82" s="190">
        <v>8</v>
      </c>
      <c r="F82" s="189">
        <f t="shared" ref="F82:I82" si="26">SUM(F19+F40+F61)/3</f>
        <v>9</v>
      </c>
      <c r="G82" s="189">
        <f t="shared" si="26"/>
        <v>103.66666666666667</v>
      </c>
      <c r="H82" s="194">
        <f t="shared" si="26"/>
        <v>102</v>
      </c>
      <c r="I82" s="191">
        <f t="shared" si="26"/>
        <v>44.326666666666661</v>
      </c>
      <c r="J82" s="188">
        <f t="shared" si="13"/>
        <v>0.70550322666666643</v>
      </c>
      <c r="K82" s="189">
        <f t="shared" si="18"/>
        <v>94.280656263480196</v>
      </c>
      <c r="L82" s="190">
        <v>4</v>
      </c>
      <c r="M82" s="191">
        <f t="shared" si="19"/>
        <v>4.16</v>
      </c>
      <c r="N82" s="189">
        <f t="shared" si="19"/>
        <v>657.33333333333337</v>
      </c>
      <c r="O82" s="190">
        <f t="shared" si="14"/>
        <v>12</v>
      </c>
    </row>
    <row r="83" spans="1:15" s="83" customFormat="1" ht="12.75" x14ac:dyDescent="0.2">
      <c r="A83" s="56">
        <v>11</v>
      </c>
      <c r="B83" s="56" t="s">
        <v>543</v>
      </c>
      <c r="C83" s="188">
        <f t="shared" si="15"/>
        <v>1.9566666666666668</v>
      </c>
      <c r="D83" s="189">
        <f t="shared" si="16"/>
        <v>107.60769935838681</v>
      </c>
      <c r="E83" s="190">
        <v>12</v>
      </c>
      <c r="F83" s="189">
        <f t="shared" ref="F83:I83" si="27">SUM(F20+F41+F62)/3</f>
        <v>9</v>
      </c>
      <c r="G83" s="189">
        <f t="shared" si="27"/>
        <v>102.66666666666667</v>
      </c>
      <c r="H83" s="194">
        <f t="shared" si="27"/>
        <v>102.66666666666667</v>
      </c>
      <c r="I83" s="191">
        <f t="shared" si="27"/>
        <v>42.773333333333333</v>
      </c>
      <c r="J83" s="188">
        <f t="shared" si="13"/>
        <v>0.76997703111111127</v>
      </c>
      <c r="K83" s="189">
        <f t="shared" si="18"/>
        <v>102.89668006757478</v>
      </c>
      <c r="L83" s="49">
        <v>5</v>
      </c>
      <c r="M83" s="191">
        <f t="shared" si="19"/>
        <v>3.86</v>
      </c>
      <c r="N83" s="189">
        <f t="shared" si="19"/>
        <v>675.66666666666663</v>
      </c>
      <c r="O83" s="190">
        <f t="shared" si="14"/>
        <v>17</v>
      </c>
    </row>
    <row r="84" spans="1:15" s="83" customFormat="1" ht="12.75" x14ac:dyDescent="0.2">
      <c r="A84" s="56">
        <v>12</v>
      </c>
      <c r="B84" s="56" t="s">
        <v>222</v>
      </c>
      <c r="C84" s="188">
        <f t="shared" si="15"/>
        <v>2.0533333333333332</v>
      </c>
      <c r="D84" s="189">
        <f t="shared" si="16"/>
        <v>112.92392300641612</v>
      </c>
      <c r="E84" s="190">
        <v>12</v>
      </c>
      <c r="F84" s="189">
        <f t="shared" ref="F84:I84" si="28">SUM(F21+F42+F63)/3</f>
        <v>9</v>
      </c>
      <c r="G84" s="189">
        <f t="shared" si="28"/>
        <v>104.33333333333333</v>
      </c>
      <c r="H84" s="194">
        <f t="shared" si="28"/>
        <v>101.33333333333333</v>
      </c>
      <c r="I84" s="191">
        <f t="shared" si="28"/>
        <v>42.64</v>
      </c>
      <c r="J84" s="188">
        <f t="shared" si="13"/>
        <v>0.8054980266666667</v>
      </c>
      <c r="K84" s="189">
        <f t="shared" si="18"/>
        <v>107.6435651923004</v>
      </c>
      <c r="L84" s="49">
        <v>6</v>
      </c>
      <c r="M84" s="191">
        <f t="shared" si="19"/>
        <v>3.7966666666666669</v>
      </c>
      <c r="N84" s="189">
        <f t="shared" si="19"/>
        <v>662.33333333333337</v>
      </c>
      <c r="O84" s="190">
        <f t="shared" si="14"/>
        <v>18</v>
      </c>
    </row>
    <row r="85" spans="1:15" s="83" customFormat="1" ht="12.75" x14ac:dyDescent="0.2">
      <c r="A85" s="56">
        <v>13</v>
      </c>
      <c r="B85" s="56" t="s">
        <v>223</v>
      </c>
      <c r="C85" s="188">
        <f t="shared" si="15"/>
        <v>1.9900000000000002</v>
      </c>
      <c r="D85" s="189">
        <f t="shared" si="16"/>
        <v>109.44087992667279</v>
      </c>
      <c r="E85" s="190">
        <v>12</v>
      </c>
      <c r="F85" s="189">
        <f t="shared" ref="F85:I85" si="29">SUM(F22+F43+F64)/3</f>
        <v>9</v>
      </c>
      <c r="G85" s="189">
        <f t="shared" si="29"/>
        <v>103.33333333333333</v>
      </c>
      <c r="H85" s="194">
        <f t="shared" si="29"/>
        <v>103.33333333333333</v>
      </c>
      <c r="I85" s="191">
        <f t="shared" si="29"/>
        <v>46.620000000000005</v>
      </c>
      <c r="J85" s="188">
        <f t="shared" si="13"/>
        <v>0.85351896000000027</v>
      </c>
      <c r="K85" s="189">
        <f t="shared" si="18"/>
        <v>114.06089248142227</v>
      </c>
      <c r="L85" s="49">
        <v>6</v>
      </c>
      <c r="M85" s="191">
        <f t="shared" si="19"/>
        <v>4.6733333333333329</v>
      </c>
      <c r="N85" s="189">
        <f t="shared" si="19"/>
        <v>666</v>
      </c>
      <c r="O85" s="190">
        <f t="shared" si="14"/>
        <v>18</v>
      </c>
    </row>
    <row r="86" spans="1:15" s="83" customFormat="1" ht="12.75" x14ac:dyDescent="0.2">
      <c r="A86" s="56">
        <v>14</v>
      </c>
      <c r="B86" s="56" t="s">
        <v>224</v>
      </c>
      <c r="C86" s="188">
        <f t="shared" si="15"/>
        <v>2.1433333333333331</v>
      </c>
      <c r="D86" s="189">
        <f t="shared" si="16"/>
        <v>117.87351054078826</v>
      </c>
      <c r="E86" s="190">
        <v>14</v>
      </c>
      <c r="F86" s="189">
        <f t="shared" ref="F86:I86" si="30">SUM(F23+F44+F65)/3</f>
        <v>9</v>
      </c>
      <c r="G86" s="189">
        <f t="shared" si="30"/>
        <v>100.33333333333333</v>
      </c>
      <c r="H86" s="194">
        <f t="shared" si="30"/>
        <v>102</v>
      </c>
      <c r="I86" s="191">
        <f t="shared" si="30"/>
        <v>45.1</v>
      </c>
      <c r="J86" s="188">
        <f t="shared" si="13"/>
        <v>0.88931186666666662</v>
      </c>
      <c r="K86" s="189">
        <f t="shared" si="18"/>
        <v>118.84411472982342</v>
      </c>
      <c r="L86" s="49">
        <v>7</v>
      </c>
      <c r="M86" s="191">
        <f t="shared" si="19"/>
        <v>4.0666666666666664</v>
      </c>
      <c r="N86" s="189">
        <f t="shared" si="19"/>
        <v>677</v>
      </c>
      <c r="O86" s="190">
        <f t="shared" si="14"/>
        <v>21</v>
      </c>
    </row>
    <row r="87" spans="1:15" s="83" customFormat="1" ht="12.75" x14ac:dyDescent="0.2">
      <c r="A87" s="56">
        <v>15</v>
      </c>
      <c r="B87" s="56" t="s">
        <v>544</v>
      </c>
      <c r="C87" s="188">
        <f t="shared" si="15"/>
        <v>1.9533333333333331</v>
      </c>
      <c r="D87" s="189">
        <f t="shared" si="16"/>
        <v>107.42438130155818</v>
      </c>
      <c r="E87" s="190">
        <v>12</v>
      </c>
      <c r="F87" s="189">
        <f t="shared" ref="F87:I87" si="31">SUM(F24+F45+F66)/3</f>
        <v>9</v>
      </c>
      <c r="G87" s="189">
        <f t="shared" si="31"/>
        <v>101</v>
      </c>
      <c r="H87" s="194">
        <f t="shared" si="31"/>
        <v>103</v>
      </c>
      <c r="I87" s="191">
        <f t="shared" si="31"/>
        <v>43.553333333333335</v>
      </c>
      <c r="J87" s="188">
        <f t="shared" si="13"/>
        <v>0.78268243555555561</v>
      </c>
      <c r="K87" s="189">
        <f t="shared" si="18"/>
        <v>104.59457998331978</v>
      </c>
      <c r="L87" s="49">
        <v>5</v>
      </c>
      <c r="M87" s="191">
        <f t="shared" si="19"/>
        <v>4.0866666666666669</v>
      </c>
      <c r="N87" s="189">
        <f t="shared" si="19"/>
        <v>665.33333333333337</v>
      </c>
      <c r="O87" s="190">
        <f t="shared" si="14"/>
        <v>17</v>
      </c>
    </row>
    <row r="88" spans="1:15" s="83" customFormat="1" ht="12.75" x14ac:dyDescent="0.2">
      <c r="A88" s="56">
        <v>16</v>
      </c>
      <c r="B88" s="56" t="s">
        <v>545</v>
      </c>
      <c r="C88" s="188">
        <f t="shared" si="15"/>
        <v>2.0166666666666671</v>
      </c>
      <c r="D88" s="189">
        <f t="shared" si="16"/>
        <v>110.90742438130158</v>
      </c>
      <c r="E88" s="190">
        <v>12</v>
      </c>
      <c r="F88" s="189">
        <f t="shared" ref="F88:I88" si="32">SUM(F25+F46+F67)/3</f>
        <v>9</v>
      </c>
      <c r="G88" s="189">
        <f t="shared" si="32"/>
        <v>92.666666666666671</v>
      </c>
      <c r="H88" s="194">
        <f t="shared" si="32"/>
        <v>100</v>
      </c>
      <c r="I88" s="191">
        <f t="shared" si="32"/>
        <v>44.79666666666666</v>
      </c>
      <c r="J88" s="188">
        <f t="shared" si="13"/>
        <v>0.83112748888888888</v>
      </c>
      <c r="K88" s="189">
        <f t="shared" si="18"/>
        <v>111.06858498903176</v>
      </c>
      <c r="L88" s="49">
        <v>6</v>
      </c>
      <c r="M88" s="191">
        <f t="shared" si="19"/>
        <v>4.0233333333333334</v>
      </c>
      <c r="N88" s="189">
        <f t="shared" si="19"/>
        <v>660.66666666666663</v>
      </c>
      <c r="O88" s="190">
        <f t="shared" si="14"/>
        <v>18</v>
      </c>
    </row>
    <row r="89" spans="1:15" s="83" customFormat="1" ht="12.75" x14ac:dyDescent="0.2">
      <c r="A89" s="56">
        <v>17</v>
      </c>
      <c r="B89" s="56" t="s">
        <v>546</v>
      </c>
      <c r="C89" s="188">
        <f t="shared" si="15"/>
        <v>1.7866666666666664</v>
      </c>
      <c r="D89" s="189">
        <f t="shared" si="16"/>
        <v>98.258478460128302</v>
      </c>
      <c r="E89" s="190">
        <v>10</v>
      </c>
      <c r="F89" s="189">
        <f t="shared" ref="F89:I89" si="33">SUM(F26+F47+F68)/3</f>
        <v>9</v>
      </c>
      <c r="G89" s="189">
        <f t="shared" si="33"/>
        <v>108.66666666666667</v>
      </c>
      <c r="H89" s="194">
        <f t="shared" si="33"/>
        <v>100.33333333333333</v>
      </c>
      <c r="I89" s="191">
        <f t="shared" si="33"/>
        <v>43.946666666666665</v>
      </c>
      <c r="J89" s="188">
        <f t="shared" si="13"/>
        <v>0.72236600888888869</v>
      </c>
      <c r="K89" s="189">
        <f t="shared" si="18"/>
        <v>96.534131675422458</v>
      </c>
      <c r="L89" s="49">
        <v>5</v>
      </c>
      <c r="M89" s="191">
        <f t="shared" si="19"/>
        <v>4.0066666666666668</v>
      </c>
      <c r="N89" s="189">
        <f t="shared" si="19"/>
        <v>664.66666666666663</v>
      </c>
      <c r="O89" s="190">
        <f t="shared" si="14"/>
        <v>15</v>
      </c>
    </row>
    <row r="90" spans="1:15" s="83" customFormat="1" ht="12.75" x14ac:dyDescent="0.2">
      <c r="A90" s="56">
        <v>18</v>
      </c>
      <c r="B90" s="56" t="s">
        <v>547</v>
      </c>
      <c r="C90" s="188">
        <f t="shared" si="15"/>
        <v>2.19</v>
      </c>
      <c r="D90" s="189">
        <f t="shared" si="16"/>
        <v>120.43996333638863</v>
      </c>
      <c r="E90" s="190">
        <v>14</v>
      </c>
      <c r="F90" s="189">
        <f t="shared" ref="F90:I90" si="34">SUM(F27+F48+F69)/3</f>
        <v>9</v>
      </c>
      <c r="G90" s="189">
        <f t="shared" si="34"/>
        <v>120.66666666666667</v>
      </c>
      <c r="H90" s="194">
        <f t="shared" si="34"/>
        <v>101</v>
      </c>
      <c r="I90" s="191">
        <f t="shared" si="34"/>
        <v>43.686666666666667</v>
      </c>
      <c r="J90" s="188">
        <f t="shared" si="13"/>
        <v>0.88019895999999986</v>
      </c>
      <c r="K90" s="189">
        <f t="shared" si="18"/>
        <v>117.62630198492563</v>
      </c>
      <c r="L90" s="49">
        <v>7</v>
      </c>
      <c r="M90" s="191">
        <f t="shared" si="19"/>
        <v>4.6833333333333327</v>
      </c>
      <c r="N90" s="189">
        <f t="shared" si="19"/>
        <v>663.33333333333337</v>
      </c>
      <c r="O90" s="190">
        <f t="shared" si="14"/>
        <v>21</v>
      </c>
    </row>
    <row r="91" spans="1:15" s="83" customFormat="1" ht="12.75" x14ac:dyDescent="0.2">
      <c r="A91" s="56">
        <v>19</v>
      </c>
      <c r="B91" s="56" t="s">
        <v>548</v>
      </c>
      <c r="C91" s="188">
        <f t="shared" si="15"/>
        <v>1.97</v>
      </c>
      <c r="D91" s="189">
        <f t="shared" si="16"/>
        <v>108.34097158570118</v>
      </c>
      <c r="E91" s="190">
        <v>12</v>
      </c>
      <c r="F91" s="189">
        <f t="shared" ref="F91:I91" si="35">SUM(F28+F49+F70)/3</f>
        <v>8.6666666666666661</v>
      </c>
      <c r="G91" s="189">
        <f t="shared" si="35"/>
        <v>110</v>
      </c>
      <c r="H91" s="194">
        <f t="shared" si="35"/>
        <v>100.33333333333333</v>
      </c>
      <c r="I91" s="191">
        <f t="shared" si="35"/>
        <v>42.676666666666669</v>
      </c>
      <c r="J91" s="188">
        <f t="shared" si="13"/>
        <v>0.77347190666666676</v>
      </c>
      <c r="K91" s="189">
        <f t="shared" si="18"/>
        <v>103.36372139138811</v>
      </c>
      <c r="L91" s="49">
        <v>5</v>
      </c>
      <c r="M91" s="191">
        <f t="shared" si="19"/>
        <v>3.9000000000000004</v>
      </c>
      <c r="N91" s="189">
        <f t="shared" si="19"/>
        <v>660</v>
      </c>
      <c r="O91" s="190">
        <f t="shared" si="14"/>
        <v>17</v>
      </c>
    </row>
    <row r="93" spans="1:15" x14ac:dyDescent="0.25">
      <c r="B93" s="367" t="s">
        <v>104</v>
      </c>
      <c r="C93" s="367"/>
      <c r="D93" s="367"/>
      <c r="E93" s="367"/>
      <c r="F93" s="367"/>
      <c r="G93" s="367"/>
      <c r="H93" s="367"/>
    </row>
    <row r="94" spans="1:15" x14ac:dyDescent="0.25">
      <c r="B94" s="123" t="s">
        <v>454</v>
      </c>
      <c r="C94" s="363" t="s">
        <v>33</v>
      </c>
      <c r="D94" s="364"/>
      <c r="E94" s="363" t="s">
        <v>135</v>
      </c>
      <c r="F94" s="364"/>
      <c r="G94" s="357" t="s">
        <v>105</v>
      </c>
      <c r="H94" s="364"/>
    </row>
    <row r="95" spans="1:15" x14ac:dyDescent="0.25">
      <c r="B95" s="124" t="s">
        <v>106</v>
      </c>
      <c r="C95" s="368"/>
      <c r="D95" s="369"/>
      <c r="E95" s="369"/>
      <c r="F95" s="369"/>
      <c r="G95" s="369"/>
      <c r="H95" s="370"/>
    </row>
    <row r="96" spans="1:15" s="87" customFormat="1" x14ac:dyDescent="0.25">
      <c r="B96" s="124" t="s">
        <v>156</v>
      </c>
      <c r="C96" s="353" t="s">
        <v>549</v>
      </c>
      <c r="D96" s="353"/>
      <c r="E96" s="356" t="s">
        <v>255</v>
      </c>
      <c r="F96" s="362"/>
      <c r="G96" s="358" t="s">
        <v>620</v>
      </c>
      <c r="H96" s="358"/>
    </row>
    <row r="97" spans="2:8" x14ac:dyDescent="0.25">
      <c r="B97" s="124" t="s">
        <v>107</v>
      </c>
      <c r="C97" s="363">
        <v>3</v>
      </c>
      <c r="D97" s="364"/>
      <c r="E97" s="389">
        <v>2.7</v>
      </c>
      <c r="F97" s="390"/>
      <c r="G97" s="361">
        <v>2.6</v>
      </c>
      <c r="H97" s="362"/>
    </row>
    <row r="98" spans="2:8" x14ac:dyDescent="0.25">
      <c r="B98" s="124" t="s">
        <v>108</v>
      </c>
      <c r="C98" s="363">
        <v>7.3</v>
      </c>
      <c r="D98" s="364"/>
      <c r="E98" s="389">
        <v>5.8</v>
      </c>
      <c r="F98" s="390"/>
      <c r="G98" s="361">
        <v>5.8</v>
      </c>
      <c r="H98" s="362"/>
    </row>
    <row r="99" spans="2:8" x14ac:dyDescent="0.25">
      <c r="B99" s="124" t="s">
        <v>109</v>
      </c>
      <c r="C99" s="363">
        <v>120</v>
      </c>
      <c r="D99" s="364"/>
      <c r="E99" s="389">
        <v>69</v>
      </c>
      <c r="F99" s="390"/>
      <c r="G99" s="389">
        <v>120</v>
      </c>
      <c r="H99" s="390"/>
    </row>
    <row r="100" spans="2:8" x14ac:dyDescent="0.25">
      <c r="B100" s="124" t="s">
        <v>110</v>
      </c>
      <c r="C100" s="363">
        <v>202</v>
      </c>
      <c r="D100" s="364"/>
      <c r="E100" s="389">
        <v>120</v>
      </c>
      <c r="F100" s="390"/>
      <c r="G100" s="361">
        <v>118</v>
      </c>
      <c r="H100" s="362"/>
    </row>
    <row r="101" spans="2:8" s="87" customFormat="1" x14ac:dyDescent="0.25">
      <c r="B101" s="124" t="s">
        <v>119</v>
      </c>
      <c r="C101" s="363" t="s">
        <v>162</v>
      </c>
      <c r="D101" s="357"/>
      <c r="E101" s="356" t="s">
        <v>256</v>
      </c>
      <c r="F101" s="356"/>
      <c r="G101" s="356" t="s">
        <v>619</v>
      </c>
      <c r="H101" s="362"/>
    </row>
    <row r="102" spans="2:8" x14ac:dyDescent="0.25">
      <c r="B102" s="124" t="s">
        <v>140</v>
      </c>
      <c r="C102" s="382" t="s">
        <v>550</v>
      </c>
      <c r="D102" s="357"/>
      <c r="E102" s="357"/>
      <c r="F102" s="357"/>
      <c r="G102" s="357"/>
      <c r="H102" s="364"/>
    </row>
    <row r="103" spans="2:8" x14ac:dyDescent="0.25">
      <c r="B103" s="124" t="s">
        <v>111</v>
      </c>
      <c r="C103" s="353" t="s">
        <v>364</v>
      </c>
      <c r="D103" s="353"/>
      <c r="E103" s="358" t="s">
        <v>563</v>
      </c>
      <c r="F103" s="358"/>
      <c r="G103" s="358" t="s">
        <v>565</v>
      </c>
      <c r="H103" s="358"/>
    </row>
    <row r="104" spans="2:8" x14ac:dyDescent="0.25">
      <c r="B104" s="123" t="s">
        <v>112</v>
      </c>
      <c r="C104" s="357" t="s">
        <v>551</v>
      </c>
      <c r="D104" s="364"/>
      <c r="E104" s="358" t="s">
        <v>564</v>
      </c>
      <c r="F104" s="358"/>
      <c r="G104" s="358" t="s">
        <v>596</v>
      </c>
      <c r="H104" s="358"/>
    </row>
    <row r="105" spans="2:8" s="87" customFormat="1" x14ac:dyDescent="0.25">
      <c r="B105" s="123"/>
      <c r="C105" s="208"/>
      <c r="D105" s="209"/>
      <c r="E105" s="177"/>
      <c r="F105" s="177"/>
      <c r="G105" s="177"/>
      <c r="H105" s="177"/>
    </row>
    <row r="106" spans="2:8" x14ac:dyDescent="0.25">
      <c r="B106" s="124" t="s">
        <v>113</v>
      </c>
      <c r="C106" s="359"/>
      <c r="D106" s="359"/>
      <c r="E106" s="359"/>
      <c r="F106" s="359"/>
      <c r="G106" s="359"/>
      <c r="H106" s="359"/>
    </row>
    <row r="107" spans="2:8" x14ac:dyDescent="0.25">
      <c r="B107" s="124" t="s">
        <v>234</v>
      </c>
      <c r="C107" s="125" t="s">
        <v>315</v>
      </c>
      <c r="D107" s="199" t="s">
        <v>552</v>
      </c>
      <c r="E107" s="227" t="s">
        <v>565</v>
      </c>
      <c r="F107" s="177" t="s">
        <v>566</v>
      </c>
      <c r="G107" s="211" t="s">
        <v>597</v>
      </c>
      <c r="H107" s="177" t="s">
        <v>429</v>
      </c>
    </row>
    <row r="108" spans="2:8" x14ac:dyDescent="0.25">
      <c r="B108" s="124" t="s">
        <v>138</v>
      </c>
      <c r="C108" s="124"/>
      <c r="D108" s="146" t="s">
        <v>614</v>
      </c>
      <c r="E108" s="227"/>
      <c r="F108" s="177" t="s">
        <v>567</v>
      </c>
      <c r="G108" s="211" t="s">
        <v>316</v>
      </c>
      <c r="H108" s="177" t="s">
        <v>598</v>
      </c>
    </row>
    <row r="109" spans="2:8" x14ac:dyDescent="0.25">
      <c r="B109" s="124" t="s">
        <v>138</v>
      </c>
      <c r="C109" s="124"/>
      <c r="D109" s="199"/>
      <c r="E109" s="227"/>
      <c r="F109" s="177"/>
      <c r="G109" s="211"/>
      <c r="H109" s="177"/>
    </row>
    <row r="110" spans="2:8" x14ac:dyDescent="0.25">
      <c r="B110" s="124" t="s">
        <v>138</v>
      </c>
      <c r="C110" s="124"/>
      <c r="D110" s="146"/>
      <c r="E110" s="201"/>
      <c r="F110" s="176"/>
      <c r="G110" s="201"/>
      <c r="H110" s="176"/>
    </row>
    <row r="111" spans="2:8" s="87" customFormat="1" x14ac:dyDescent="0.25">
      <c r="B111" s="124"/>
      <c r="C111" s="124"/>
      <c r="D111" s="199"/>
      <c r="E111" s="201"/>
      <c r="F111" s="176"/>
      <c r="G111" s="201"/>
      <c r="H111" s="176"/>
    </row>
    <row r="112" spans="2:8" x14ac:dyDescent="0.25">
      <c r="B112" s="124" t="s">
        <v>115</v>
      </c>
      <c r="C112" s="353"/>
      <c r="D112" s="353"/>
      <c r="E112" s="353"/>
      <c r="F112" s="353"/>
      <c r="G112" s="353"/>
      <c r="H112" s="353"/>
    </row>
    <row r="113" spans="2:8" x14ac:dyDescent="0.25">
      <c r="B113" s="124" t="s">
        <v>116</v>
      </c>
      <c r="C113" s="124" t="s">
        <v>394</v>
      </c>
      <c r="D113" s="124" t="s">
        <v>163</v>
      </c>
      <c r="E113" s="211" t="s">
        <v>364</v>
      </c>
      <c r="F113" s="211" t="s">
        <v>257</v>
      </c>
      <c r="G113" s="211" t="s">
        <v>565</v>
      </c>
      <c r="H113" s="211" t="s">
        <v>599</v>
      </c>
    </row>
    <row r="114" spans="2:8" s="298" customFormat="1" x14ac:dyDescent="0.25">
      <c r="B114" s="124"/>
      <c r="C114" s="124" t="s">
        <v>420</v>
      </c>
      <c r="D114" s="124" t="s">
        <v>556</v>
      </c>
      <c r="E114" s="211"/>
      <c r="F114" s="211"/>
      <c r="G114" s="211" t="s">
        <v>600</v>
      </c>
      <c r="H114" s="211" t="s">
        <v>601</v>
      </c>
    </row>
    <row r="115" spans="2:8" x14ac:dyDescent="0.25">
      <c r="B115" s="127"/>
      <c r="C115" s="124" t="s">
        <v>553</v>
      </c>
      <c r="D115" s="124" t="s">
        <v>555</v>
      </c>
      <c r="E115" s="211"/>
      <c r="F115" s="211"/>
      <c r="G115" s="211"/>
      <c r="H115" s="211"/>
    </row>
    <row r="116" spans="2:8" s="87" customFormat="1" x14ac:dyDescent="0.25">
      <c r="B116" s="127"/>
      <c r="C116" s="124"/>
      <c r="D116" s="124"/>
      <c r="E116" s="211"/>
      <c r="F116" s="211"/>
      <c r="G116" s="211"/>
      <c r="H116" s="211"/>
    </row>
    <row r="117" spans="2:8" x14ac:dyDescent="0.25">
      <c r="B117" s="124" t="s">
        <v>117</v>
      </c>
      <c r="C117" s="124" t="s">
        <v>390</v>
      </c>
      <c r="D117" s="124" t="s">
        <v>164</v>
      </c>
      <c r="E117" s="211" t="s">
        <v>458</v>
      </c>
      <c r="F117" s="211" t="s">
        <v>258</v>
      </c>
      <c r="G117" s="211" t="s">
        <v>600</v>
      </c>
      <c r="H117" s="211" t="s">
        <v>159</v>
      </c>
    </row>
    <row r="118" spans="2:8" x14ac:dyDescent="0.25">
      <c r="B118" s="127"/>
      <c r="C118" t="s">
        <v>362</v>
      </c>
      <c r="D118" t="s">
        <v>164</v>
      </c>
      <c r="E118" s="211" t="s">
        <v>568</v>
      </c>
      <c r="F118" s="211" t="s">
        <v>166</v>
      </c>
      <c r="G118" s="211" t="s">
        <v>602</v>
      </c>
      <c r="H118" s="211" t="s">
        <v>603</v>
      </c>
    </row>
    <row r="119" spans="2:8" s="87" customFormat="1" x14ac:dyDescent="0.25">
      <c r="B119" s="127"/>
      <c r="C119" s="124" t="s">
        <v>553</v>
      </c>
      <c r="D119" s="211" t="s">
        <v>232</v>
      </c>
      <c r="E119" s="211" t="s">
        <v>569</v>
      </c>
      <c r="F119" s="226" t="s">
        <v>570</v>
      </c>
      <c r="G119" s="211" t="s">
        <v>604</v>
      </c>
      <c r="H119" s="211" t="s">
        <v>603</v>
      </c>
    </row>
    <row r="120" spans="2:8" s="87" customFormat="1" x14ac:dyDescent="0.25">
      <c r="B120" s="127"/>
      <c r="C120" s="124" t="s">
        <v>441</v>
      </c>
      <c r="D120" s="211" t="s">
        <v>554</v>
      </c>
      <c r="E120" s="211" t="s">
        <v>392</v>
      </c>
      <c r="F120" s="226" t="s">
        <v>232</v>
      </c>
      <c r="G120" s="201"/>
      <c r="H120" s="201"/>
    </row>
    <row r="121" spans="2:8" s="87" customFormat="1" x14ac:dyDescent="0.25">
      <c r="B121" s="127"/>
      <c r="C121" s="124"/>
      <c r="D121" s="201"/>
      <c r="E121" s="211" t="s">
        <v>441</v>
      </c>
      <c r="F121" s="211" t="s">
        <v>166</v>
      </c>
      <c r="G121" s="201"/>
      <c r="H121" s="201"/>
    </row>
    <row r="122" spans="2:8" x14ac:dyDescent="0.25">
      <c r="B122" s="127"/>
      <c r="C122" s="124"/>
      <c r="D122" s="124"/>
      <c r="E122" s="211"/>
      <c r="F122" s="211"/>
      <c r="G122" s="201"/>
      <c r="H122" s="201"/>
    </row>
    <row r="123" spans="2:8" x14ac:dyDescent="0.25">
      <c r="B123" s="127" t="s">
        <v>123</v>
      </c>
      <c r="C123" s="114"/>
      <c r="D123" s="114"/>
      <c r="E123" s="211"/>
      <c r="F123" s="220"/>
      <c r="G123" s="201"/>
      <c r="H123" s="201"/>
    </row>
    <row r="124" spans="2:8" x14ac:dyDescent="0.25">
      <c r="B124" s="127"/>
      <c r="C124" s="124"/>
      <c r="D124" s="124"/>
      <c r="E124" s="211"/>
      <c r="F124" s="211"/>
      <c r="G124" s="201"/>
      <c r="H124" s="201"/>
    </row>
    <row r="125" spans="2:8" x14ac:dyDescent="0.25">
      <c r="B125" s="127"/>
      <c r="C125" s="114"/>
      <c r="D125" s="114"/>
      <c r="E125" s="211"/>
      <c r="F125" s="211"/>
      <c r="G125" s="201"/>
      <c r="H125" s="201"/>
    </row>
    <row r="126" spans="2:8" x14ac:dyDescent="0.25">
      <c r="B126" s="124" t="s">
        <v>152</v>
      </c>
      <c r="C126" s="124" t="s">
        <v>420</v>
      </c>
      <c r="D126" s="124" t="s">
        <v>557</v>
      </c>
      <c r="E126" s="211" t="s">
        <v>568</v>
      </c>
      <c r="F126" s="211" t="s">
        <v>259</v>
      </c>
      <c r="G126" s="211" t="s">
        <v>600</v>
      </c>
      <c r="H126" s="211" t="s">
        <v>605</v>
      </c>
    </row>
    <row r="127" spans="2:8" x14ac:dyDescent="0.25">
      <c r="B127" s="124"/>
      <c r="C127" s="124"/>
      <c r="D127" s="124" t="s">
        <v>558</v>
      </c>
      <c r="E127" s="201"/>
      <c r="F127" s="211" t="s">
        <v>558</v>
      </c>
      <c r="G127" s="201"/>
      <c r="H127" s="201"/>
    </row>
    <row r="128" spans="2:8" x14ac:dyDescent="0.25">
      <c r="B128" s="128"/>
      <c r="C128" s="124" t="s">
        <v>362</v>
      </c>
      <c r="D128" s="124" t="s">
        <v>557</v>
      </c>
      <c r="E128" s="327" t="s">
        <v>569</v>
      </c>
      <c r="F128" s="327" t="s">
        <v>259</v>
      </c>
      <c r="G128" s="205"/>
      <c r="H128" s="205"/>
    </row>
    <row r="129" spans="2:8" x14ac:dyDescent="0.25">
      <c r="B129" s="124"/>
      <c r="C129" s="124"/>
      <c r="D129" s="124" t="s">
        <v>559</v>
      </c>
      <c r="E129" s="211" t="s">
        <v>392</v>
      </c>
      <c r="F129" s="211" t="s">
        <v>558</v>
      </c>
      <c r="G129" s="201"/>
      <c r="H129" s="201"/>
    </row>
    <row r="130" spans="2:8" x14ac:dyDescent="0.25">
      <c r="B130" s="124"/>
      <c r="C130" s="124" t="s">
        <v>553</v>
      </c>
      <c r="D130" s="124" t="s">
        <v>560</v>
      </c>
      <c r="E130" s="211" t="s">
        <v>441</v>
      </c>
      <c r="F130" s="211" t="s">
        <v>259</v>
      </c>
      <c r="G130" s="201"/>
      <c r="H130" s="201"/>
    </row>
    <row r="131" spans="2:8" x14ac:dyDescent="0.25">
      <c r="B131" s="113"/>
      <c r="C131" s="113"/>
      <c r="D131" s="326" t="s">
        <v>561</v>
      </c>
      <c r="E131" s="113"/>
      <c r="F131" s="113"/>
      <c r="G131" s="113"/>
      <c r="H131" s="113"/>
    </row>
    <row r="132" spans="2:8" x14ac:dyDescent="0.25">
      <c r="B132" s="113"/>
      <c r="C132" s="113" t="s">
        <v>441</v>
      </c>
      <c r="D132" s="326" t="s">
        <v>562</v>
      </c>
      <c r="E132" s="113"/>
      <c r="F132" s="113"/>
      <c r="G132" s="113"/>
      <c r="H132" s="113"/>
    </row>
    <row r="133" spans="2:8" x14ac:dyDescent="0.25">
      <c r="B133" s="113"/>
      <c r="C133" s="113"/>
      <c r="D133" s="326" t="s">
        <v>559</v>
      </c>
      <c r="E133" s="113"/>
      <c r="F133" s="113"/>
      <c r="G133" s="113"/>
      <c r="H133" s="113"/>
    </row>
  </sheetData>
  <mergeCells count="37">
    <mergeCell ref="O7:O8"/>
    <mergeCell ref="A7:A8"/>
    <mergeCell ref="B7:B8"/>
    <mergeCell ref="C7:E7"/>
    <mergeCell ref="J7:L7"/>
    <mergeCell ref="B93:H93"/>
    <mergeCell ref="C94:D94"/>
    <mergeCell ref="E94:F94"/>
    <mergeCell ref="G94:H94"/>
    <mergeCell ref="C95:H95"/>
    <mergeCell ref="C97:D97"/>
    <mergeCell ref="E97:F97"/>
    <mergeCell ref="G97:H97"/>
    <mergeCell ref="C98:D98"/>
    <mergeCell ref="E98:F98"/>
    <mergeCell ref="G98:H98"/>
    <mergeCell ref="E99:F99"/>
    <mergeCell ref="G99:H99"/>
    <mergeCell ref="C100:D100"/>
    <mergeCell ref="E100:F100"/>
    <mergeCell ref="G100:H100"/>
    <mergeCell ref="C106:H106"/>
    <mergeCell ref="C112:H112"/>
    <mergeCell ref="C96:D96"/>
    <mergeCell ref="C101:D101"/>
    <mergeCell ref="E96:F96"/>
    <mergeCell ref="E101:F101"/>
    <mergeCell ref="G96:H96"/>
    <mergeCell ref="G101:H101"/>
    <mergeCell ref="C102:H102"/>
    <mergeCell ref="C103:D103"/>
    <mergeCell ref="E103:F103"/>
    <mergeCell ref="G103:H103"/>
    <mergeCell ref="C104:D104"/>
    <mergeCell ref="E104:F104"/>
    <mergeCell ref="G104:H104"/>
    <mergeCell ref="C99:D9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85"/>
  <sheetViews>
    <sheetView workbookViewId="0">
      <selection activeCell="J11" sqref="J11"/>
    </sheetView>
  </sheetViews>
  <sheetFormatPr defaultColWidth="8.85546875" defaultRowHeight="15" x14ac:dyDescent="0.25"/>
  <cols>
    <col min="1" max="1" width="4.5703125" style="86" customWidth="1"/>
    <col min="2" max="2" width="27.140625" style="86" customWidth="1"/>
    <col min="3" max="3" width="13.5703125" style="86" customWidth="1"/>
    <col min="4" max="4" width="22.5703125" style="86" customWidth="1"/>
    <col min="5" max="5" width="11.7109375" style="86" customWidth="1"/>
    <col min="6" max="6" width="23.7109375" style="86" customWidth="1"/>
    <col min="7" max="7" width="11.7109375" style="86" customWidth="1"/>
    <col min="8" max="8" width="26.85546875" style="86" customWidth="1"/>
    <col min="9" max="16384" width="8.85546875" style="86"/>
  </cols>
  <sheetData>
    <row r="2" spans="1:15" x14ac:dyDescent="0.25">
      <c r="B2" s="106" t="s">
        <v>606</v>
      </c>
    </row>
    <row r="3" spans="1:15" x14ac:dyDescent="0.25">
      <c r="B3" s="106" t="s">
        <v>607</v>
      </c>
    </row>
    <row r="5" spans="1:15" ht="15.75" x14ac:dyDescent="0.25">
      <c r="A5" s="100" t="s">
        <v>69</v>
      </c>
    </row>
    <row r="7" spans="1:15" ht="51" x14ac:dyDescent="0.25">
      <c r="A7" s="372" t="s">
        <v>1</v>
      </c>
      <c r="B7" s="372" t="s">
        <v>2</v>
      </c>
      <c r="C7" s="372" t="s">
        <v>70</v>
      </c>
      <c r="D7" s="372"/>
      <c r="E7" s="372"/>
      <c r="F7" s="103" t="s">
        <v>5</v>
      </c>
      <c r="G7" s="103" t="s">
        <v>28</v>
      </c>
      <c r="H7" s="103" t="s">
        <v>7</v>
      </c>
      <c r="I7" s="103" t="s">
        <v>71</v>
      </c>
      <c r="J7" s="398" t="s">
        <v>47</v>
      </c>
      <c r="K7" s="398"/>
      <c r="L7" s="398"/>
      <c r="M7" s="102" t="s">
        <v>48</v>
      </c>
      <c r="N7" s="108" t="s">
        <v>29</v>
      </c>
      <c r="O7" s="371" t="s">
        <v>13</v>
      </c>
    </row>
    <row r="8" spans="1:15" ht="76.5" x14ac:dyDescent="0.25">
      <c r="A8" s="372"/>
      <c r="B8" s="372"/>
      <c r="C8" s="103" t="s">
        <v>14</v>
      </c>
      <c r="D8" s="103" t="s">
        <v>15</v>
      </c>
      <c r="E8" s="103" t="s">
        <v>16</v>
      </c>
      <c r="F8" s="103" t="s">
        <v>16</v>
      </c>
      <c r="G8" s="103" t="s">
        <v>18</v>
      </c>
      <c r="H8" s="103" t="s">
        <v>19</v>
      </c>
      <c r="I8" s="103" t="s">
        <v>21</v>
      </c>
      <c r="J8" s="103" t="s">
        <v>49</v>
      </c>
      <c r="K8" s="104" t="s">
        <v>15</v>
      </c>
      <c r="L8" s="104" t="s">
        <v>16</v>
      </c>
      <c r="M8" s="104" t="s">
        <v>22</v>
      </c>
      <c r="N8" s="103" t="s">
        <v>20</v>
      </c>
      <c r="O8" s="371"/>
    </row>
    <row r="9" spans="1:15" x14ac:dyDescent="0.25">
      <c r="A9" s="55" t="s">
        <v>82</v>
      </c>
      <c r="B9" s="101"/>
      <c r="C9" s="101"/>
      <c r="D9" s="101"/>
      <c r="E9" s="101"/>
      <c r="F9" s="101"/>
      <c r="G9" s="101"/>
      <c r="H9" s="101"/>
      <c r="I9" s="101"/>
      <c r="J9" s="101"/>
      <c r="K9" s="105"/>
      <c r="L9" s="105"/>
      <c r="M9" s="105"/>
      <c r="N9" s="101"/>
      <c r="O9" s="38"/>
    </row>
    <row r="10" spans="1:15" s="83" customFormat="1" ht="12.75" x14ac:dyDescent="0.2">
      <c r="A10" s="265">
        <v>1</v>
      </c>
      <c r="B10" s="265" t="s">
        <v>225</v>
      </c>
      <c r="C10" s="266">
        <v>1.42</v>
      </c>
      <c r="D10" s="267">
        <v>100</v>
      </c>
      <c r="E10" s="268">
        <v>10</v>
      </c>
      <c r="F10" s="268">
        <v>9</v>
      </c>
      <c r="G10" s="268">
        <v>110</v>
      </c>
      <c r="H10" s="268">
        <v>100</v>
      </c>
      <c r="I10" s="268">
        <v>42.03</v>
      </c>
      <c r="J10" s="266">
        <f>(((C10*92)/100)*I10)/100</f>
        <v>0.54907991999999994</v>
      </c>
      <c r="K10" s="267">
        <v>100</v>
      </c>
      <c r="L10" s="268">
        <v>5</v>
      </c>
      <c r="M10" s="266">
        <v>3.58</v>
      </c>
      <c r="N10" s="268">
        <v>689</v>
      </c>
      <c r="O10" s="268">
        <f>SUM(E10+L10)</f>
        <v>15</v>
      </c>
    </row>
    <row r="11" spans="1:15" s="83" customFormat="1" ht="12.75" x14ac:dyDescent="0.2">
      <c r="A11" s="56">
        <v>2</v>
      </c>
      <c r="B11" s="56" t="s">
        <v>226</v>
      </c>
      <c r="C11" s="44">
        <v>1.53</v>
      </c>
      <c r="D11" s="42">
        <f>(C11*100)/C$10</f>
        <v>107.74647887323944</v>
      </c>
      <c r="E11" s="41">
        <v>12</v>
      </c>
      <c r="F11" s="41">
        <v>9</v>
      </c>
      <c r="G11" s="41">
        <v>110</v>
      </c>
      <c r="H11" s="41">
        <v>99</v>
      </c>
      <c r="I11" s="325">
        <v>43.55</v>
      </c>
      <c r="J11" s="47">
        <f>(((C11*92)/100)*I11)/100</f>
        <v>0.61300979999999994</v>
      </c>
      <c r="K11" s="42">
        <f>(J11*100)/J$10</f>
        <v>111.64309195644962</v>
      </c>
      <c r="L11" s="41">
        <v>6</v>
      </c>
      <c r="M11" s="188">
        <v>3.74</v>
      </c>
      <c r="N11" s="325">
        <v>672</v>
      </c>
      <c r="O11" s="49">
        <f>SUM(E11+L11)</f>
        <v>18</v>
      </c>
    </row>
    <row r="12" spans="1:15" s="83" customFormat="1" ht="12.75" x14ac:dyDescent="0.2">
      <c r="A12" s="56">
        <v>3</v>
      </c>
      <c r="B12" s="56" t="s">
        <v>227</v>
      </c>
      <c r="C12" s="44">
        <v>1.37</v>
      </c>
      <c r="D12" s="186">
        <f t="shared" ref="D12:D16" si="0">(C12*100)/C$10</f>
        <v>96.478873239436624</v>
      </c>
      <c r="E12" s="41">
        <v>10</v>
      </c>
      <c r="F12" s="41">
        <v>9</v>
      </c>
      <c r="G12" s="41">
        <v>105</v>
      </c>
      <c r="H12" s="41">
        <v>99</v>
      </c>
      <c r="I12" s="325">
        <v>44.71</v>
      </c>
      <c r="J12" s="188">
        <f t="shared" ref="J12:J15" si="1">(((C12*92)/100)*I12)/100</f>
        <v>0.56352483999999992</v>
      </c>
      <c r="K12" s="186">
        <f t="shared" ref="K12:K16" si="2">(J12*100)/J$10</f>
        <v>102.63075000083775</v>
      </c>
      <c r="L12" s="41">
        <v>5</v>
      </c>
      <c r="M12" s="188">
        <v>3.51</v>
      </c>
      <c r="N12" s="325">
        <v>662</v>
      </c>
      <c r="O12" s="49">
        <f>SUM(E12+L12)</f>
        <v>15</v>
      </c>
    </row>
    <row r="13" spans="1:15" s="83" customFormat="1" ht="12.75" x14ac:dyDescent="0.2">
      <c r="A13" s="56">
        <v>4</v>
      </c>
      <c r="B13" s="56" t="s">
        <v>608</v>
      </c>
      <c r="C13" s="44">
        <v>1.3</v>
      </c>
      <c r="D13" s="186">
        <f t="shared" si="0"/>
        <v>91.549295774647888</v>
      </c>
      <c r="E13" s="325">
        <v>8</v>
      </c>
      <c r="F13" s="325">
        <v>9</v>
      </c>
      <c r="G13" s="325">
        <v>106</v>
      </c>
      <c r="H13" s="325">
        <v>100</v>
      </c>
      <c r="I13" s="325">
        <v>44.24</v>
      </c>
      <c r="J13" s="188">
        <f t="shared" si="1"/>
        <v>0.52911040000000009</v>
      </c>
      <c r="K13" s="186">
        <f t="shared" si="2"/>
        <v>96.363094101128326</v>
      </c>
      <c r="L13" s="325">
        <v>5</v>
      </c>
      <c r="M13" s="188">
        <v>3.82</v>
      </c>
      <c r="N13" s="325">
        <v>687</v>
      </c>
      <c r="O13" s="190">
        <f t="shared" ref="O13:O16" si="3">SUM(E13+L13)</f>
        <v>13</v>
      </c>
    </row>
    <row r="14" spans="1:15" s="83" customFormat="1" ht="12.75" x14ac:dyDescent="0.2">
      <c r="A14" s="56">
        <v>5</v>
      </c>
      <c r="B14" s="56" t="s">
        <v>609</v>
      </c>
      <c r="C14" s="44">
        <v>1.42</v>
      </c>
      <c r="D14" s="186">
        <f t="shared" si="0"/>
        <v>100</v>
      </c>
      <c r="E14" s="325">
        <v>10</v>
      </c>
      <c r="F14" s="325">
        <v>9</v>
      </c>
      <c r="G14" s="325">
        <v>105</v>
      </c>
      <c r="H14" s="325">
        <v>99</v>
      </c>
      <c r="I14" s="325">
        <v>44.48</v>
      </c>
      <c r="J14" s="188">
        <f t="shared" si="1"/>
        <v>0.58108671999999983</v>
      </c>
      <c r="K14" s="186">
        <f t="shared" si="2"/>
        <v>105.82916964073279</v>
      </c>
      <c r="L14" s="325">
        <v>6</v>
      </c>
      <c r="M14" s="188">
        <v>3.95</v>
      </c>
      <c r="N14" s="325">
        <v>671</v>
      </c>
      <c r="O14" s="190">
        <f t="shared" si="3"/>
        <v>16</v>
      </c>
    </row>
    <row r="15" spans="1:15" s="83" customFormat="1" ht="12.75" x14ac:dyDescent="0.2">
      <c r="A15" s="56">
        <v>6</v>
      </c>
      <c r="B15" s="56" t="s">
        <v>610</v>
      </c>
      <c r="C15" s="44">
        <v>1.28</v>
      </c>
      <c r="D15" s="186">
        <f t="shared" si="0"/>
        <v>90.140845070422543</v>
      </c>
      <c r="E15" s="325">
        <v>8</v>
      </c>
      <c r="F15" s="325">
        <v>9</v>
      </c>
      <c r="G15" s="325">
        <v>90</v>
      </c>
      <c r="H15" s="325">
        <v>99</v>
      </c>
      <c r="I15" s="325">
        <v>42.17</v>
      </c>
      <c r="J15" s="188">
        <f t="shared" si="1"/>
        <v>0.49659392000000002</v>
      </c>
      <c r="K15" s="186">
        <f t="shared" si="2"/>
        <v>90.441100086122276</v>
      </c>
      <c r="L15" s="325">
        <v>4</v>
      </c>
      <c r="M15" s="188">
        <v>3.89</v>
      </c>
      <c r="N15" s="325">
        <v>683</v>
      </c>
      <c r="O15" s="190">
        <f t="shared" si="3"/>
        <v>12</v>
      </c>
    </row>
    <row r="16" spans="1:15" s="83" customFormat="1" ht="12.75" x14ac:dyDescent="0.2">
      <c r="A16" s="56">
        <v>7</v>
      </c>
      <c r="B16" s="56" t="s">
        <v>611</v>
      </c>
      <c r="C16" s="44">
        <v>1.27</v>
      </c>
      <c r="D16" s="186">
        <f t="shared" si="0"/>
        <v>89.436619718309871</v>
      </c>
      <c r="E16" s="41">
        <v>8</v>
      </c>
      <c r="F16" s="325">
        <v>9</v>
      </c>
      <c r="G16" s="41">
        <v>93</v>
      </c>
      <c r="H16" s="41">
        <v>99</v>
      </c>
      <c r="I16" s="325">
        <v>42.08</v>
      </c>
      <c r="J16" s="47">
        <f>(((C16*92)/100)*I16)/100</f>
        <v>0.49166272</v>
      </c>
      <c r="K16" s="186">
        <f t="shared" si="2"/>
        <v>89.543015887377564</v>
      </c>
      <c r="L16" s="41">
        <v>4</v>
      </c>
      <c r="M16" s="188">
        <v>3.44</v>
      </c>
      <c r="N16" s="325">
        <v>671</v>
      </c>
      <c r="O16" s="190">
        <f t="shared" si="3"/>
        <v>12</v>
      </c>
    </row>
    <row r="17" spans="1:15" s="83" customFormat="1" ht="12.75" x14ac:dyDescent="0.2"/>
    <row r="18" spans="1:15" s="83" customFormat="1" ht="12.75" x14ac:dyDescent="0.2">
      <c r="A18" s="111" t="s">
        <v>295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5"/>
      <c r="L18" s="105"/>
      <c r="M18" s="105"/>
      <c r="N18" s="101"/>
      <c r="O18" s="38"/>
    </row>
    <row r="19" spans="1:15" s="83" customFormat="1" ht="12.75" x14ac:dyDescent="0.2">
      <c r="A19" s="265">
        <v>1</v>
      </c>
      <c r="B19" s="265" t="s">
        <v>225</v>
      </c>
      <c r="C19" s="266">
        <v>1.8</v>
      </c>
      <c r="D19" s="267">
        <v>100</v>
      </c>
      <c r="E19" s="268">
        <v>10</v>
      </c>
      <c r="F19" s="268">
        <v>9</v>
      </c>
      <c r="G19" s="268">
        <v>104</v>
      </c>
      <c r="H19" s="268">
        <v>104</v>
      </c>
      <c r="I19" s="270">
        <v>43.23</v>
      </c>
      <c r="J19" s="266">
        <f>(((C19*92)/100)*I19)/100</f>
        <v>0.71588879999999988</v>
      </c>
      <c r="K19" s="267">
        <v>100</v>
      </c>
      <c r="L19" s="268">
        <v>5</v>
      </c>
      <c r="M19" s="266">
        <v>4.38</v>
      </c>
      <c r="N19" s="268">
        <v>691</v>
      </c>
      <c r="O19" s="268">
        <f>SUM(E19+L19)</f>
        <v>15</v>
      </c>
    </row>
    <row r="20" spans="1:15" s="83" customFormat="1" ht="12.75" x14ac:dyDescent="0.2">
      <c r="A20" s="56">
        <v>2</v>
      </c>
      <c r="B20" s="56" t="s">
        <v>226</v>
      </c>
      <c r="C20" s="44">
        <v>1.79</v>
      </c>
      <c r="D20" s="42">
        <f>(C20*100)/C$19</f>
        <v>99.444444444444443</v>
      </c>
      <c r="E20" s="41">
        <v>10</v>
      </c>
      <c r="F20" s="41">
        <v>9</v>
      </c>
      <c r="G20" s="41">
        <v>84</v>
      </c>
      <c r="H20" s="41">
        <v>104</v>
      </c>
      <c r="I20" s="187">
        <v>44.53</v>
      </c>
      <c r="J20" s="47">
        <f>(((C20*92)/100)*I20)/100</f>
        <v>0.73332003999999995</v>
      </c>
      <c r="K20" s="42">
        <f>(J20*100)/J$19</f>
        <v>102.43490888529058</v>
      </c>
      <c r="L20" s="41">
        <v>5</v>
      </c>
      <c r="M20" s="44">
        <v>4.1900000000000004</v>
      </c>
      <c r="N20" s="325">
        <v>690</v>
      </c>
      <c r="O20" s="49">
        <f>SUM(E20+L20)</f>
        <v>15</v>
      </c>
    </row>
    <row r="21" spans="1:15" s="83" customFormat="1" ht="12.75" x14ac:dyDescent="0.2">
      <c r="A21" s="56">
        <v>3</v>
      </c>
      <c r="B21" s="56" t="s">
        <v>227</v>
      </c>
      <c r="C21" s="44">
        <v>1.72</v>
      </c>
      <c r="D21" s="186">
        <f t="shared" ref="D21:D25" si="4">(C21*100)/C$19</f>
        <v>95.555555555555557</v>
      </c>
      <c r="E21" s="325">
        <v>10</v>
      </c>
      <c r="F21" s="325">
        <v>9</v>
      </c>
      <c r="G21" s="325">
        <v>101</v>
      </c>
      <c r="H21" s="325">
        <v>104</v>
      </c>
      <c r="I21" s="187">
        <v>45.04</v>
      </c>
      <c r="J21" s="188">
        <f t="shared" ref="J21:J25" si="5">(((C21*92)/100)*I21)/100</f>
        <v>0.71271296000000006</v>
      </c>
      <c r="K21" s="186">
        <f t="shared" ref="K21:K25" si="6">(J21*100)/J$19</f>
        <v>99.556378029660493</v>
      </c>
      <c r="L21" s="325">
        <v>5</v>
      </c>
      <c r="M21" s="44">
        <v>4.16</v>
      </c>
      <c r="N21" s="325">
        <v>680</v>
      </c>
      <c r="O21" s="190">
        <f t="shared" ref="O21:O25" si="7">SUM(E21+L21)</f>
        <v>15</v>
      </c>
    </row>
    <row r="22" spans="1:15" s="83" customFormat="1" ht="12.75" x14ac:dyDescent="0.2">
      <c r="A22" s="56">
        <v>4</v>
      </c>
      <c r="B22" s="56" t="s">
        <v>608</v>
      </c>
      <c r="C22" s="44">
        <v>1.73</v>
      </c>
      <c r="D22" s="186">
        <f t="shared" si="4"/>
        <v>96.111111111111114</v>
      </c>
      <c r="E22" s="325">
        <v>10</v>
      </c>
      <c r="F22" s="325">
        <v>9</v>
      </c>
      <c r="G22" s="325">
        <v>120</v>
      </c>
      <c r="H22" s="325">
        <v>104</v>
      </c>
      <c r="I22" s="187">
        <v>46</v>
      </c>
      <c r="J22" s="188">
        <f t="shared" si="5"/>
        <v>0.73213600000000001</v>
      </c>
      <c r="K22" s="186">
        <f t="shared" si="6"/>
        <v>102.26951448325495</v>
      </c>
      <c r="L22" s="325">
        <v>5</v>
      </c>
      <c r="M22" s="44">
        <v>4.26</v>
      </c>
      <c r="N22" s="325">
        <v>687</v>
      </c>
      <c r="O22" s="190">
        <f t="shared" si="7"/>
        <v>15</v>
      </c>
    </row>
    <row r="23" spans="1:15" s="83" customFormat="1" ht="12.75" x14ac:dyDescent="0.2">
      <c r="A23" s="56">
        <v>5</v>
      </c>
      <c r="B23" s="56" t="s">
        <v>609</v>
      </c>
      <c r="C23" s="44">
        <v>1.89</v>
      </c>
      <c r="D23" s="186">
        <f t="shared" si="4"/>
        <v>105</v>
      </c>
      <c r="E23" s="325">
        <v>10</v>
      </c>
      <c r="F23" s="325">
        <v>9</v>
      </c>
      <c r="G23" s="325">
        <v>111</v>
      </c>
      <c r="H23" s="325">
        <v>104</v>
      </c>
      <c r="I23" s="187">
        <v>44.97</v>
      </c>
      <c r="J23" s="188">
        <f t="shared" si="5"/>
        <v>0.78193835999999994</v>
      </c>
      <c r="K23" s="186">
        <f t="shared" si="6"/>
        <v>109.2262317834837</v>
      </c>
      <c r="L23" s="325">
        <v>6</v>
      </c>
      <c r="M23" s="44">
        <v>5.42</v>
      </c>
      <c r="N23" s="325">
        <v>684</v>
      </c>
      <c r="O23" s="190">
        <f t="shared" si="7"/>
        <v>16</v>
      </c>
    </row>
    <row r="24" spans="1:15" s="83" customFormat="1" ht="12.75" x14ac:dyDescent="0.2">
      <c r="A24" s="56">
        <v>6</v>
      </c>
      <c r="B24" s="56" t="s">
        <v>610</v>
      </c>
      <c r="C24" s="44">
        <v>1.84</v>
      </c>
      <c r="D24" s="186">
        <f t="shared" si="4"/>
        <v>102.22222222222221</v>
      </c>
      <c r="E24" s="41">
        <v>10</v>
      </c>
      <c r="F24" s="41">
        <v>9</v>
      </c>
      <c r="G24" s="41">
        <v>101</v>
      </c>
      <c r="H24" s="41">
        <v>104</v>
      </c>
      <c r="I24" s="187">
        <v>44.96</v>
      </c>
      <c r="J24" s="188">
        <f t="shared" si="5"/>
        <v>0.76108288000000002</v>
      </c>
      <c r="K24" s="186">
        <f t="shared" si="6"/>
        <v>106.31300280155244</v>
      </c>
      <c r="L24" s="41">
        <v>6</v>
      </c>
      <c r="M24" s="44">
        <v>4.55</v>
      </c>
      <c r="N24" s="325">
        <v>690</v>
      </c>
      <c r="O24" s="190">
        <f t="shared" si="7"/>
        <v>16</v>
      </c>
    </row>
    <row r="25" spans="1:15" s="83" customFormat="1" ht="12.75" x14ac:dyDescent="0.2">
      <c r="A25" s="56">
        <v>7</v>
      </c>
      <c r="B25" s="56" t="s">
        <v>611</v>
      </c>
      <c r="C25" s="44">
        <v>1.53</v>
      </c>
      <c r="D25" s="186">
        <f t="shared" si="4"/>
        <v>85</v>
      </c>
      <c r="E25" s="41">
        <v>6</v>
      </c>
      <c r="F25" s="41">
        <v>9</v>
      </c>
      <c r="G25" s="41">
        <v>89</v>
      </c>
      <c r="H25" s="41">
        <v>104</v>
      </c>
      <c r="I25" s="187">
        <v>42.96</v>
      </c>
      <c r="J25" s="188">
        <f t="shared" si="5"/>
        <v>0.60470495999999996</v>
      </c>
      <c r="K25" s="186">
        <f t="shared" si="6"/>
        <v>84.469118667591957</v>
      </c>
      <c r="L25" s="41">
        <v>3</v>
      </c>
      <c r="M25" s="44">
        <v>5.07</v>
      </c>
      <c r="N25" s="325">
        <v>678</v>
      </c>
      <c r="O25" s="190">
        <f t="shared" si="7"/>
        <v>9</v>
      </c>
    </row>
    <row r="26" spans="1:15" s="83" customFormat="1" ht="12.75" x14ac:dyDescent="0.2"/>
    <row r="27" spans="1:15" s="83" customFormat="1" ht="12.75" x14ac:dyDescent="0.2">
      <c r="A27" s="99" t="s">
        <v>64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5"/>
      <c r="L27" s="105"/>
      <c r="M27" s="105"/>
      <c r="N27" s="101"/>
      <c r="O27" s="38"/>
    </row>
    <row r="28" spans="1:15" s="83" customFormat="1" ht="12.75" x14ac:dyDescent="0.2">
      <c r="A28" s="265">
        <v>1</v>
      </c>
      <c r="B28" s="265" t="s">
        <v>225</v>
      </c>
      <c r="C28" s="266">
        <v>2.17</v>
      </c>
      <c r="D28" s="267">
        <v>100</v>
      </c>
      <c r="E28" s="268">
        <v>10</v>
      </c>
      <c r="F28" s="290">
        <v>9</v>
      </c>
      <c r="G28" s="290">
        <v>84</v>
      </c>
      <c r="H28" s="268">
        <v>97</v>
      </c>
      <c r="I28" s="268">
        <v>41.81</v>
      </c>
      <c r="J28" s="266">
        <f>(((C28*92)/100)*I28)/100</f>
        <v>0.83469484000000005</v>
      </c>
      <c r="K28" s="267">
        <v>100</v>
      </c>
      <c r="L28" s="268">
        <v>5</v>
      </c>
      <c r="M28" s="266">
        <v>4.08</v>
      </c>
      <c r="N28" s="268">
        <v>688</v>
      </c>
      <c r="O28" s="268">
        <f>SUM(E28+L28)</f>
        <v>15</v>
      </c>
    </row>
    <row r="29" spans="1:15" s="83" customFormat="1" ht="12.75" x14ac:dyDescent="0.2">
      <c r="A29" s="56">
        <v>2</v>
      </c>
      <c r="B29" s="56" t="s">
        <v>226</v>
      </c>
      <c r="C29" s="44">
        <v>2.61</v>
      </c>
      <c r="D29" s="42">
        <f>(C29*100)/C$28</f>
        <v>120.27649769585254</v>
      </c>
      <c r="E29" s="41">
        <v>14</v>
      </c>
      <c r="F29" s="178">
        <v>9</v>
      </c>
      <c r="G29" s="178">
        <v>89</v>
      </c>
      <c r="H29" s="41">
        <v>95</v>
      </c>
      <c r="I29" s="325">
        <v>43.99</v>
      </c>
      <c r="J29" s="47">
        <f>(((C29*92)/100)*I29)/100</f>
        <v>1.05628788</v>
      </c>
      <c r="K29" s="42">
        <f>(J29*100)/J$28</f>
        <v>126.5477908069972</v>
      </c>
      <c r="L29" s="41">
        <v>8</v>
      </c>
      <c r="M29" s="44">
        <v>4.29</v>
      </c>
      <c r="N29" s="325">
        <v>688</v>
      </c>
      <c r="O29" s="49">
        <f>SUM(E29+L29)</f>
        <v>22</v>
      </c>
    </row>
    <row r="30" spans="1:15" s="83" customFormat="1" ht="12.75" x14ac:dyDescent="0.2">
      <c r="A30" s="56">
        <v>3</v>
      </c>
      <c r="B30" s="56" t="s">
        <v>227</v>
      </c>
      <c r="C30" s="44">
        <v>2.4700000000000002</v>
      </c>
      <c r="D30" s="186">
        <f t="shared" ref="D30:D34" si="8">(C30*100)/C$28</f>
        <v>113.82488479262675</v>
      </c>
      <c r="E30" s="325">
        <v>12</v>
      </c>
      <c r="F30" s="178">
        <v>9</v>
      </c>
      <c r="G30" s="178">
        <v>88</v>
      </c>
      <c r="H30" s="325">
        <v>94</v>
      </c>
      <c r="I30" s="325">
        <v>44.62</v>
      </c>
      <c r="J30" s="188">
        <f t="shared" ref="J30:J34" si="9">(((C30*92)/100)*I30)/100</f>
        <v>1.0139448800000002</v>
      </c>
      <c r="K30" s="186">
        <f t="shared" ref="K30:K34" si="10">(J30*100)/J$28</f>
        <v>121.47491890569253</v>
      </c>
      <c r="L30" s="325">
        <v>7</v>
      </c>
      <c r="M30" s="44">
        <v>4.17</v>
      </c>
      <c r="N30" s="325">
        <v>683</v>
      </c>
      <c r="O30" s="190">
        <f t="shared" ref="O30:O34" si="11">SUM(E30+L30)</f>
        <v>19</v>
      </c>
    </row>
    <row r="31" spans="1:15" s="83" customFormat="1" ht="12.75" x14ac:dyDescent="0.2">
      <c r="A31" s="56">
        <v>4</v>
      </c>
      <c r="B31" s="56" t="s">
        <v>608</v>
      </c>
      <c r="C31" s="44">
        <v>2.5499999999999998</v>
      </c>
      <c r="D31" s="186">
        <f t="shared" si="8"/>
        <v>117.51152073732717</v>
      </c>
      <c r="E31" s="325">
        <v>14</v>
      </c>
      <c r="F31" s="178">
        <v>9</v>
      </c>
      <c r="G31" s="178">
        <v>88</v>
      </c>
      <c r="H31" s="325">
        <v>96</v>
      </c>
      <c r="I31" s="325">
        <v>45.75</v>
      </c>
      <c r="J31" s="188">
        <f t="shared" si="9"/>
        <v>1.0732950000000001</v>
      </c>
      <c r="K31" s="186">
        <f t="shared" si="10"/>
        <v>128.58531628157664</v>
      </c>
      <c r="L31" s="325">
        <v>8</v>
      </c>
      <c r="M31" s="44">
        <v>4.5599999999999996</v>
      </c>
      <c r="N31" s="325">
        <v>690</v>
      </c>
      <c r="O31" s="190">
        <f t="shared" si="11"/>
        <v>22</v>
      </c>
    </row>
    <row r="32" spans="1:15" s="83" customFormat="1" ht="12.75" x14ac:dyDescent="0.2">
      <c r="A32" s="56">
        <v>5</v>
      </c>
      <c r="B32" s="56" t="s">
        <v>609</v>
      </c>
      <c r="C32" s="44">
        <v>2.41</v>
      </c>
      <c r="D32" s="186">
        <f t="shared" si="8"/>
        <v>111.05990783410138</v>
      </c>
      <c r="E32" s="325">
        <v>12</v>
      </c>
      <c r="F32" s="178">
        <v>9</v>
      </c>
      <c r="G32" s="178">
        <v>93</v>
      </c>
      <c r="H32" s="325">
        <v>96</v>
      </c>
      <c r="I32" s="325">
        <v>44.06</v>
      </c>
      <c r="J32" s="188">
        <f t="shared" si="9"/>
        <v>0.9768983200000001</v>
      </c>
      <c r="K32" s="186">
        <f t="shared" si="10"/>
        <v>117.03658309424796</v>
      </c>
      <c r="L32" s="325">
        <v>7</v>
      </c>
      <c r="M32" s="44">
        <v>5.23</v>
      </c>
      <c r="N32" s="325">
        <v>686</v>
      </c>
      <c r="O32" s="190">
        <f t="shared" si="11"/>
        <v>19</v>
      </c>
    </row>
    <row r="33" spans="1:15" s="83" customFormat="1" ht="12.75" x14ac:dyDescent="0.2">
      <c r="A33" s="56">
        <v>6</v>
      </c>
      <c r="B33" s="56" t="s">
        <v>610</v>
      </c>
      <c r="C33" s="44">
        <v>2.3199999999999998</v>
      </c>
      <c r="D33" s="186">
        <f t="shared" si="8"/>
        <v>106.91244239631335</v>
      </c>
      <c r="E33" s="41">
        <v>12</v>
      </c>
      <c r="F33" s="178">
        <v>9</v>
      </c>
      <c r="G33" s="178">
        <v>84</v>
      </c>
      <c r="H33" s="41">
        <v>97</v>
      </c>
      <c r="I33" s="325">
        <v>43.14</v>
      </c>
      <c r="J33" s="188">
        <f t="shared" si="9"/>
        <v>0.92078015999999996</v>
      </c>
      <c r="K33" s="186">
        <f t="shared" si="10"/>
        <v>110.31338830368232</v>
      </c>
      <c r="L33" s="41">
        <v>6</v>
      </c>
      <c r="M33" s="44">
        <v>4.33</v>
      </c>
      <c r="N33" s="325">
        <v>692</v>
      </c>
      <c r="O33" s="190">
        <f t="shared" si="11"/>
        <v>18</v>
      </c>
    </row>
    <row r="34" spans="1:15" s="83" customFormat="1" ht="12.75" x14ac:dyDescent="0.2">
      <c r="A34" s="56">
        <v>7</v>
      </c>
      <c r="B34" s="56" t="s">
        <v>611</v>
      </c>
      <c r="C34" s="44">
        <v>2.08</v>
      </c>
      <c r="D34" s="186">
        <f t="shared" si="8"/>
        <v>95.852534562211986</v>
      </c>
      <c r="E34" s="41">
        <v>10</v>
      </c>
      <c r="F34" s="178">
        <v>9</v>
      </c>
      <c r="G34" s="178">
        <v>80</v>
      </c>
      <c r="H34" s="41">
        <v>96</v>
      </c>
      <c r="I34" s="325">
        <v>42.64</v>
      </c>
      <c r="J34" s="188">
        <f t="shared" si="9"/>
        <v>0.81595904000000008</v>
      </c>
      <c r="K34" s="186">
        <f t="shared" si="10"/>
        <v>97.755371292339603</v>
      </c>
      <c r="L34" s="41">
        <v>5</v>
      </c>
      <c r="M34" s="44">
        <v>4.2699999999999996</v>
      </c>
      <c r="N34" s="325">
        <v>683</v>
      </c>
      <c r="O34" s="190">
        <f t="shared" si="11"/>
        <v>15</v>
      </c>
    </row>
    <row r="35" spans="1:15" s="83" customFormat="1" ht="12.75" x14ac:dyDescent="0.2"/>
    <row r="36" spans="1:15" s="83" customFormat="1" ht="12.75" x14ac:dyDescent="0.2">
      <c r="A36" s="99" t="s">
        <v>293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5"/>
      <c r="L36" s="105"/>
      <c r="M36" s="105"/>
      <c r="N36" s="101"/>
      <c r="O36" s="38"/>
    </row>
    <row r="37" spans="1:15" s="83" customFormat="1" ht="12.75" x14ac:dyDescent="0.2">
      <c r="A37" s="265">
        <v>1</v>
      </c>
      <c r="B37" s="265" t="s">
        <v>225</v>
      </c>
      <c r="C37" s="266">
        <f>SUM(C10+C19+C28)/3</f>
        <v>1.7966666666666666</v>
      </c>
      <c r="D37" s="267">
        <v>100</v>
      </c>
      <c r="E37" s="268">
        <v>10</v>
      </c>
      <c r="F37" s="267">
        <f t="shared" ref="F37:I38" si="12">SUM(F10+F19+F28)/3</f>
        <v>9</v>
      </c>
      <c r="G37" s="267">
        <f t="shared" si="12"/>
        <v>99.333333333333329</v>
      </c>
      <c r="H37" s="269">
        <f t="shared" si="12"/>
        <v>100.33333333333333</v>
      </c>
      <c r="I37" s="270">
        <f t="shared" si="12"/>
        <v>42.356666666666662</v>
      </c>
      <c r="J37" s="266">
        <f>(((C37*92)/100)*I37)/100</f>
        <v>0.700127462222222</v>
      </c>
      <c r="K37" s="267">
        <v>100</v>
      </c>
      <c r="L37" s="268">
        <v>5</v>
      </c>
      <c r="M37" s="266">
        <f>SUM(M10+M19+M28)/3</f>
        <v>4.0133333333333328</v>
      </c>
      <c r="N37" s="267">
        <f>SUM(N10+N19+N28)/3</f>
        <v>689.33333333333337</v>
      </c>
      <c r="O37" s="268">
        <f>SUM(E37+L37)</f>
        <v>15</v>
      </c>
    </row>
    <row r="38" spans="1:15" s="83" customFormat="1" ht="12.75" x14ac:dyDescent="0.2">
      <c r="A38" s="56">
        <v>2</v>
      </c>
      <c r="B38" s="56" t="s">
        <v>226</v>
      </c>
      <c r="C38" s="47">
        <f>SUM(C11+C20+C29)/3</f>
        <v>1.9766666666666666</v>
      </c>
      <c r="D38" s="48">
        <f>(C38*100)/C$37</f>
        <v>110.01855287569573</v>
      </c>
      <c r="E38" s="49">
        <v>12</v>
      </c>
      <c r="F38" s="48">
        <f t="shared" si="12"/>
        <v>9</v>
      </c>
      <c r="G38" s="48">
        <f t="shared" si="12"/>
        <v>94.333333333333329</v>
      </c>
      <c r="H38" s="59">
        <f t="shared" si="12"/>
        <v>99.333333333333329</v>
      </c>
      <c r="I38" s="50">
        <f t="shared" si="12"/>
        <v>44.023333333333333</v>
      </c>
      <c r="J38" s="47">
        <f>(((C38*92)/100)*I38)/100</f>
        <v>0.80057899111111108</v>
      </c>
      <c r="K38" s="48">
        <f>(J38*100)/J$37</f>
        <v>114.34760587308681</v>
      </c>
      <c r="L38" s="49">
        <v>6</v>
      </c>
      <c r="M38" s="47">
        <f>SUM(M11+M20+M29)/3</f>
        <v>4.0733333333333333</v>
      </c>
      <c r="N38" s="48">
        <f>SUM(N11+N20+N29)/3</f>
        <v>683.33333333333337</v>
      </c>
      <c r="O38" s="49">
        <f>SUM(E38+L38)</f>
        <v>18</v>
      </c>
    </row>
    <row r="39" spans="1:15" s="83" customFormat="1" ht="12.75" x14ac:dyDescent="0.2">
      <c r="A39" s="56">
        <v>3</v>
      </c>
      <c r="B39" s="56" t="s">
        <v>227</v>
      </c>
      <c r="C39" s="188">
        <f t="shared" ref="C39:C43" si="13">SUM(C12+C21+C30)/3</f>
        <v>1.8533333333333335</v>
      </c>
      <c r="D39" s="189">
        <f t="shared" ref="D39:D43" si="14">(C39*100)/C$37</f>
        <v>103.1539888682746</v>
      </c>
      <c r="E39" s="190">
        <v>10</v>
      </c>
      <c r="F39" s="189">
        <f t="shared" ref="F39:H43" si="15">SUM(F12+F21+F30)/3</f>
        <v>9</v>
      </c>
      <c r="G39" s="189">
        <f t="shared" si="15"/>
        <v>98</v>
      </c>
      <c r="H39" s="194">
        <f t="shared" si="15"/>
        <v>99</v>
      </c>
      <c r="I39" s="191">
        <f t="shared" ref="I39:I43" si="16">SUM(I12+I21+I30)/3</f>
        <v>44.79</v>
      </c>
      <c r="J39" s="188">
        <f t="shared" ref="J39:J43" si="17">(((C39*92)/100)*I39)/100</f>
        <v>0.76369936000000005</v>
      </c>
      <c r="K39" s="189">
        <f t="shared" ref="K39:K43" si="18">(J39*100)/J$37</f>
        <v>109.08004630699664</v>
      </c>
      <c r="L39" s="190">
        <v>6</v>
      </c>
      <c r="M39" s="188">
        <f t="shared" ref="M39:N42" si="19">SUM(M12+M21+M30)/3</f>
        <v>3.9466666666666668</v>
      </c>
      <c r="N39" s="189">
        <f t="shared" si="19"/>
        <v>675</v>
      </c>
      <c r="O39" s="190">
        <f t="shared" ref="O39:O43" si="20">SUM(E39+L39)</f>
        <v>16</v>
      </c>
    </row>
    <row r="40" spans="1:15" s="83" customFormat="1" ht="12.75" x14ac:dyDescent="0.2">
      <c r="A40" s="56">
        <v>4</v>
      </c>
      <c r="B40" s="56" t="s">
        <v>608</v>
      </c>
      <c r="C40" s="188">
        <f t="shared" si="13"/>
        <v>1.86</v>
      </c>
      <c r="D40" s="189">
        <f t="shared" si="14"/>
        <v>103.52504638218925</v>
      </c>
      <c r="E40" s="190">
        <v>10</v>
      </c>
      <c r="F40" s="189">
        <f t="shared" si="15"/>
        <v>9</v>
      </c>
      <c r="G40" s="189">
        <f t="shared" si="15"/>
        <v>104.66666666666667</v>
      </c>
      <c r="H40" s="194">
        <f t="shared" si="15"/>
        <v>100</v>
      </c>
      <c r="I40" s="191">
        <f t="shared" si="16"/>
        <v>45.330000000000005</v>
      </c>
      <c r="J40" s="188">
        <f t="shared" si="17"/>
        <v>0.77568696000000015</v>
      </c>
      <c r="K40" s="189">
        <f t="shared" si="18"/>
        <v>110.79224881965784</v>
      </c>
      <c r="L40" s="190">
        <v>6</v>
      </c>
      <c r="M40" s="188">
        <f t="shared" si="19"/>
        <v>4.2133333333333338</v>
      </c>
      <c r="N40" s="189">
        <f t="shared" si="19"/>
        <v>688</v>
      </c>
      <c r="O40" s="190">
        <f t="shared" si="20"/>
        <v>16</v>
      </c>
    </row>
    <row r="41" spans="1:15" s="83" customFormat="1" ht="12.75" x14ac:dyDescent="0.2">
      <c r="A41" s="56">
        <v>5</v>
      </c>
      <c r="B41" s="56" t="s">
        <v>609</v>
      </c>
      <c r="C41" s="188">
        <f t="shared" si="13"/>
        <v>1.9066666666666665</v>
      </c>
      <c r="D41" s="189">
        <f t="shared" si="14"/>
        <v>106.12244897959184</v>
      </c>
      <c r="E41" s="190">
        <v>12</v>
      </c>
      <c r="F41" s="189">
        <f t="shared" si="15"/>
        <v>9</v>
      </c>
      <c r="G41" s="189">
        <f t="shared" si="15"/>
        <v>103</v>
      </c>
      <c r="H41" s="194">
        <f t="shared" si="15"/>
        <v>99.666666666666671</v>
      </c>
      <c r="I41" s="191">
        <f t="shared" si="16"/>
        <v>44.50333333333333</v>
      </c>
      <c r="J41" s="188">
        <f t="shared" si="17"/>
        <v>0.78064780444444437</v>
      </c>
      <c r="K41" s="189">
        <f t="shared" si="18"/>
        <v>111.50081186169284</v>
      </c>
      <c r="L41" s="190">
        <v>6</v>
      </c>
      <c r="M41" s="188">
        <f t="shared" si="19"/>
        <v>4.8666666666666671</v>
      </c>
      <c r="N41" s="189">
        <f t="shared" si="19"/>
        <v>680.33333333333337</v>
      </c>
      <c r="O41" s="190">
        <f t="shared" si="20"/>
        <v>18</v>
      </c>
    </row>
    <row r="42" spans="1:15" s="83" customFormat="1" ht="12.75" x14ac:dyDescent="0.2">
      <c r="A42" s="56">
        <v>6</v>
      </c>
      <c r="B42" s="56" t="s">
        <v>610</v>
      </c>
      <c r="C42" s="188">
        <f t="shared" si="13"/>
        <v>1.8133333333333332</v>
      </c>
      <c r="D42" s="189">
        <f t="shared" si="14"/>
        <v>100.92764378478664</v>
      </c>
      <c r="E42" s="49">
        <v>10</v>
      </c>
      <c r="F42" s="189">
        <f t="shared" si="15"/>
        <v>9</v>
      </c>
      <c r="G42" s="189">
        <f t="shared" si="15"/>
        <v>91.666666666666671</v>
      </c>
      <c r="H42" s="194">
        <f t="shared" si="15"/>
        <v>100</v>
      </c>
      <c r="I42" s="191">
        <f t="shared" si="16"/>
        <v>43.423333333333325</v>
      </c>
      <c r="J42" s="188">
        <f t="shared" si="17"/>
        <v>0.72441699555555528</v>
      </c>
      <c r="K42" s="189">
        <f t="shared" si="18"/>
        <v>103.46930161205758</v>
      </c>
      <c r="L42" s="49">
        <v>5</v>
      </c>
      <c r="M42" s="188">
        <f t="shared" si="19"/>
        <v>4.2566666666666668</v>
      </c>
      <c r="N42" s="189">
        <f t="shared" si="19"/>
        <v>688.33333333333337</v>
      </c>
      <c r="O42" s="190">
        <f t="shared" si="20"/>
        <v>15</v>
      </c>
    </row>
    <row r="43" spans="1:15" s="83" customFormat="1" ht="12.75" x14ac:dyDescent="0.2">
      <c r="A43" s="56">
        <v>7</v>
      </c>
      <c r="B43" s="56" t="s">
        <v>611</v>
      </c>
      <c r="C43" s="188">
        <f t="shared" si="13"/>
        <v>1.6266666666666667</v>
      </c>
      <c r="D43" s="189">
        <f t="shared" si="14"/>
        <v>90.538033395176242</v>
      </c>
      <c r="E43" s="49">
        <v>8</v>
      </c>
      <c r="F43" s="189">
        <f t="shared" si="15"/>
        <v>9</v>
      </c>
      <c r="G43" s="189">
        <f t="shared" si="15"/>
        <v>87.333333333333329</v>
      </c>
      <c r="H43" s="194">
        <f t="shared" si="15"/>
        <v>99.666666666666671</v>
      </c>
      <c r="I43" s="191">
        <f t="shared" si="16"/>
        <v>42.559999999999995</v>
      </c>
      <c r="J43" s="188">
        <f t="shared" si="17"/>
        <v>0.63692458666666663</v>
      </c>
      <c r="K43" s="189">
        <f t="shared" si="18"/>
        <v>90.97266155580472</v>
      </c>
      <c r="L43" s="49">
        <v>4</v>
      </c>
      <c r="M43" s="47">
        <f t="shared" ref="M43:N43" si="21">SUM(M16+M25+M34)/3</f>
        <v>4.26</v>
      </c>
      <c r="N43" s="189">
        <f t="shared" si="21"/>
        <v>677.33333333333337</v>
      </c>
      <c r="O43" s="190">
        <f t="shared" si="20"/>
        <v>12</v>
      </c>
    </row>
    <row r="45" spans="1:15" x14ac:dyDescent="0.25">
      <c r="B45" s="367" t="s">
        <v>104</v>
      </c>
      <c r="C45" s="367"/>
      <c r="D45" s="367"/>
      <c r="E45" s="367"/>
      <c r="F45" s="367"/>
      <c r="G45" s="367"/>
      <c r="H45" s="367"/>
    </row>
    <row r="46" spans="1:15" x14ac:dyDescent="0.25">
      <c r="B46" s="123" t="s">
        <v>454</v>
      </c>
      <c r="C46" s="363" t="s">
        <v>33</v>
      </c>
      <c r="D46" s="364"/>
      <c r="E46" s="363" t="s">
        <v>135</v>
      </c>
      <c r="F46" s="364"/>
      <c r="G46" s="357" t="s">
        <v>105</v>
      </c>
      <c r="H46" s="364"/>
    </row>
    <row r="47" spans="1:15" x14ac:dyDescent="0.25">
      <c r="B47" s="124" t="s">
        <v>106</v>
      </c>
      <c r="C47" s="368"/>
      <c r="D47" s="369"/>
      <c r="E47" s="369"/>
      <c r="F47" s="369"/>
      <c r="G47" s="369"/>
      <c r="H47" s="370"/>
    </row>
    <row r="48" spans="1:15" x14ac:dyDescent="0.25">
      <c r="B48" s="124" t="s">
        <v>156</v>
      </c>
      <c r="C48" s="363" t="s">
        <v>549</v>
      </c>
      <c r="D48" s="357"/>
      <c r="E48" s="356" t="s">
        <v>255</v>
      </c>
      <c r="F48" s="362"/>
      <c r="G48" s="358" t="s">
        <v>620</v>
      </c>
      <c r="H48" s="358"/>
    </row>
    <row r="49" spans="2:8" x14ac:dyDescent="0.25">
      <c r="B49" s="124" t="s">
        <v>107</v>
      </c>
      <c r="C49" s="363">
        <v>3</v>
      </c>
      <c r="D49" s="364"/>
      <c r="E49" s="389">
        <v>2.7</v>
      </c>
      <c r="F49" s="390"/>
      <c r="G49" s="361">
        <v>2.6</v>
      </c>
      <c r="H49" s="362"/>
    </row>
    <row r="50" spans="2:8" x14ac:dyDescent="0.25">
      <c r="B50" s="124" t="s">
        <v>108</v>
      </c>
      <c r="C50" s="407">
        <v>7.3</v>
      </c>
      <c r="D50" s="408"/>
      <c r="E50" s="389">
        <v>5.8</v>
      </c>
      <c r="F50" s="390"/>
      <c r="G50" s="361">
        <v>5.8</v>
      </c>
      <c r="H50" s="362"/>
    </row>
    <row r="51" spans="2:8" x14ac:dyDescent="0.25">
      <c r="B51" s="124" t="s">
        <v>109</v>
      </c>
      <c r="C51" s="363">
        <v>120</v>
      </c>
      <c r="D51" s="364"/>
      <c r="E51" s="389">
        <v>69</v>
      </c>
      <c r="F51" s="390"/>
      <c r="G51" s="389">
        <v>120</v>
      </c>
      <c r="H51" s="390"/>
    </row>
    <row r="52" spans="2:8" x14ac:dyDescent="0.25">
      <c r="B52" s="124" t="s">
        <v>110</v>
      </c>
      <c r="C52" s="363">
        <v>202</v>
      </c>
      <c r="D52" s="364"/>
      <c r="E52" s="389">
        <v>120</v>
      </c>
      <c r="F52" s="390"/>
      <c r="G52" s="361">
        <v>118</v>
      </c>
      <c r="H52" s="362"/>
    </row>
    <row r="53" spans="2:8" x14ac:dyDescent="0.25">
      <c r="B53" s="124" t="s">
        <v>119</v>
      </c>
      <c r="C53" s="363" t="s">
        <v>612</v>
      </c>
      <c r="D53" s="357"/>
      <c r="E53" s="356" t="s">
        <v>256</v>
      </c>
      <c r="F53" s="356"/>
      <c r="G53" s="356" t="s">
        <v>619</v>
      </c>
      <c r="H53" s="362"/>
    </row>
    <row r="54" spans="2:8" x14ac:dyDescent="0.25">
      <c r="B54" s="124" t="s">
        <v>140</v>
      </c>
      <c r="C54" s="363" t="s">
        <v>613</v>
      </c>
      <c r="D54" s="357"/>
      <c r="E54" s="357"/>
      <c r="F54" s="357"/>
      <c r="G54" s="357"/>
      <c r="H54" s="364"/>
    </row>
    <row r="55" spans="2:8" x14ac:dyDescent="0.25">
      <c r="B55" s="124" t="s">
        <v>111</v>
      </c>
      <c r="C55" s="353" t="s">
        <v>364</v>
      </c>
      <c r="D55" s="353"/>
      <c r="E55" s="358" t="s">
        <v>563</v>
      </c>
      <c r="F55" s="358"/>
      <c r="G55" s="358" t="s">
        <v>565</v>
      </c>
      <c r="H55" s="358"/>
    </row>
    <row r="56" spans="2:8" x14ac:dyDescent="0.25">
      <c r="B56" s="123" t="s">
        <v>112</v>
      </c>
      <c r="C56" s="405" t="s">
        <v>551</v>
      </c>
      <c r="D56" s="406"/>
      <c r="E56" s="358" t="s">
        <v>615</v>
      </c>
      <c r="F56" s="358"/>
      <c r="G56" s="358" t="s">
        <v>596</v>
      </c>
      <c r="H56" s="358"/>
    </row>
    <row r="57" spans="2:8" s="87" customFormat="1" x14ac:dyDescent="0.25">
      <c r="B57" s="123"/>
      <c r="C57" s="231"/>
      <c r="D57" s="229"/>
      <c r="E57" s="177"/>
      <c r="F57" s="177"/>
      <c r="G57" s="177"/>
      <c r="H57" s="177"/>
    </row>
    <row r="58" spans="2:8" x14ac:dyDescent="0.25">
      <c r="B58" s="124" t="s">
        <v>113</v>
      </c>
      <c r="C58" s="359"/>
      <c r="D58" s="359"/>
      <c r="E58" s="359"/>
      <c r="F58" s="359"/>
      <c r="G58" s="359"/>
      <c r="H58" s="359"/>
    </row>
    <row r="59" spans="2:8" x14ac:dyDescent="0.25">
      <c r="B59" s="124" t="s">
        <v>114</v>
      </c>
      <c r="C59" s="125" t="s">
        <v>315</v>
      </c>
      <c r="D59" s="322" t="s">
        <v>552</v>
      </c>
      <c r="E59" s="227" t="s">
        <v>565</v>
      </c>
      <c r="F59" s="177" t="s">
        <v>566</v>
      </c>
      <c r="G59" s="211" t="s">
        <v>597</v>
      </c>
      <c r="H59" s="177" t="s">
        <v>429</v>
      </c>
    </row>
    <row r="60" spans="2:8" x14ac:dyDescent="0.25">
      <c r="B60" s="124" t="s">
        <v>138</v>
      </c>
      <c r="C60" s="124"/>
      <c r="D60" s="322" t="s">
        <v>614</v>
      </c>
      <c r="E60" s="227"/>
      <c r="F60" s="177" t="s">
        <v>567</v>
      </c>
      <c r="G60" s="211" t="s">
        <v>316</v>
      </c>
      <c r="H60" s="323" t="s">
        <v>598</v>
      </c>
    </row>
    <row r="61" spans="2:8" x14ac:dyDescent="0.25">
      <c r="B61" s="124"/>
      <c r="C61" s="124"/>
      <c r="D61" s="199"/>
      <c r="E61" s="227"/>
      <c r="F61" s="177"/>
      <c r="G61" s="211"/>
      <c r="H61" s="177"/>
    </row>
    <row r="62" spans="2:8" x14ac:dyDescent="0.25">
      <c r="B62" s="124"/>
      <c r="C62" s="124"/>
      <c r="D62" s="146"/>
      <c r="E62" s="201"/>
      <c r="F62" s="176"/>
      <c r="G62" s="201"/>
      <c r="H62" s="176"/>
    </row>
    <row r="63" spans="2:8" s="87" customFormat="1" x14ac:dyDescent="0.25">
      <c r="B63" s="124"/>
      <c r="C63" s="124"/>
      <c r="D63" s="199"/>
      <c r="E63" s="201"/>
      <c r="F63" s="176"/>
      <c r="G63" s="201"/>
      <c r="H63" s="176"/>
    </row>
    <row r="64" spans="2:8" x14ac:dyDescent="0.25">
      <c r="B64" s="124" t="s">
        <v>115</v>
      </c>
      <c r="C64" s="353"/>
      <c r="D64" s="353"/>
      <c r="E64" s="353"/>
      <c r="F64" s="353"/>
      <c r="G64" s="353"/>
      <c r="H64" s="353"/>
    </row>
    <row r="65" spans="2:8" x14ac:dyDescent="0.25">
      <c r="B65" s="124" t="s">
        <v>116</v>
      </c>
      <c r="C65" s="124" t="s">
        <v>420</v>
      </c>
      <c r="D65" s="124" t="s">
        <v>165</v>
      </c>
      <c r="E65" s="211" t="s">
        <v>568</v>
      </c>
      <c r="F65" s="211" t="s">
        <v>165</v>
      </c>
      <c r="G65" s="211" t="s">
        <v>431</v>
      </c>
      <c r="H65" s="211" t="s">
        <v>165</v>
      </c>
    </row>
    <row r="66" spans="2:8" x14ac:dyDescent="0.25">
      <c r="B66" s="127"/>
      <c r="C66" s="124"/>
      <c r="D66" s="124"/>
      <c r="E66" s="211"/>
      <c r="F66" s="211" t="s">
        <v>167</v>
      </c>
      <c r="G66" s="211"/>
      <c r="H66" s="211" t="s">
        <v>167</v>
      </c>
    </row>
    <row r="67" spans="2:8" s="87" customFormat="1" x14ac:dyDescent="0.25">
      <c r="B67" s="127"/>
      <c r="C67" s="124"/>
      <c r="D67" s="124"/>
      <c r="E67" s="201"/>
      <c r="F67" s="201"/>
      <c r="G67" s="201"/>
      <c r="H67" s="201"/>
    </row>
    <row r="68" spans="2:8" x14ac:dyDescent="0.25">
      <c r="B68" s="124" t="s">
        <v>117</v>
      </c>
      <c r="C68" s="124"/>
      <c r="D68" s="124"/>
      <c r="E68" s="211" t="s">
        <v>616</v>
      </c>
      <c r="F68" s="211" t="s">
        <v>258</v>
      </c>
      <c r="G68" s="211" t="s">
        <v>600</v>
      </c>
      <c r="H68" s="211" t="s">
        <v>159</v>
      </c>
    </row>
    <row r="69" spans="2:8" x14ac:dyDescent="0.25">
      <c r="B69" s="127"/>
      <c r="C69" s="124" t="s">
        <v>390</v>
      </c>
      <c r="D69" s="124" t="s">
        <v>164</v>
      </c>
      <c r="E69" s="211" t="s">
        <v>568</v>
      </c>
      <c r="F69" s="226" t="s">
        <v>166</v>
      </c>
      <c r="G69" s="211" t="s">
        <v>602</v>
      </c>
      <c r="H69" s="211" t="s">
        <v>603</v>
      </c>
    </row>
    <row r="70" spans="2:8" s="87" customFormat="1" x14ac:dyDescent="0.25">
      <c r="B70" s="127"/>
      <c r="C70" s="298" t="s">
        <v>362</v>
      </c>
      <c r="D70" s="298" t="s">
        <v>164</v>
      </c>
      <c r="E70" s="211" t="s">
        <v>569</v>
      </c>
      <c r="F70" s="226" t="s">
        <v>603</v>
      </c>
      <c r="G70" s="211" t="s">
        <v>604</v>
      </c>
      <c r="H70" s="211" t="s">
        <v>603</v>
      </c>
    </row>
    <row r="71" spans="2:8" s="87" customFormat="1" x14ac:dyDescent="0.25">
      <c r="B71" s="127"/>
      <c r="C71" s="124" t="s">
        <v>553</v>
      </c>
      <c r="D71" s="211" t="s">
        <v>232</v>
      </c>
      <c r="E71" s="211" t="s">
        <v>392</v>
      </c>
      <c r="F71" s="226" t="s">
        <v>232</v>
      </c>
      <c r="G71" s="201"/>
      <c r="H71" s="201"/>
    </row>
    <row r="72" spans="2:8" x14ac:dyDescent="0.25">
      <c r="B72" s="127"/>
      <c r="C72" s="124" t="s">
        <v>441</v>
      </c>
      <c r="D72" s="211" t="s">
        <v>554</v>
      </c>
      <c r="E72" s="211" t="s">
        <v>441</v>
      </c>
      <c r="F72" s="211" t="s">
        <v>166</v>
      </c>
      <c r="G72" s="201"/>
      <c r="H72" s="201"/>
    </row>
    <row r="73" spans="2:8" s="87" customFormat="1" x14ac:dyDescent="0.25">
      <c r="B73" s="127"/>
      <c r="C73" s="133"/>
      <c r="D73" s="124"/>
      <c r="E73" s="211"/>
      <c r="F73" s="211"/>
      <c r="G73" s="201"/>
      <c r="H73" s="201"/>
    </row>
    <row r="74" spans="2:8" x14ac:dyDescent="0.25">
      <c r="B74" s="124" t="s">
        <v>147</v>
      </c>
      <c r="C74" s="114"/>
      <c r="D74" s="124"/>
      <c r="E74" s="201"/>
      <c r="F74" s="201"/>
      <c r="G74" s="201"/>
      <c r="H74" s="201"/>
    </row>
    <row r="75" spans="2:8" x14ac:dyDescent="0.25">
      <c r="B75" s="127"/>
      <c r="C75" s="124"/>
      <c r="D75" s="124"/>
      <c r="E75" s="201"/>
      <c r="F75" s="201"/>
      <c r="G75" s="201"/>
      <c r="H75" s="201"/>
    </row>
    <row r="76" spans="2:8" s="87" customFormat="1" x14ac:dyDescent="0.25">
      <c r="B76" s="124" t="s">
        <v>123</v>
      </c>
      <c r="C76" s="133"/>
      <c r="D76" s="133"/>
      <c r="E76" s="201"/>
      <c r="F76" s="201"/>
      <c r="G76" s="201"/>
      <c r="H76" s="201"/>
    </row>
    <row r="77" spans="2:8" s="87" customFormat="1" x14ac:dyDescent="0.25">
      <c r="B77" s="127"/>
      <c r="C77" s="133"/>
      <c r="D77" s="133"/>
      <c r="E77" s="201"/>
      <c r="F77" s="201"/>
      <c r="G77" s="201"/>
      <c r="H77" s="201"/>
    </row>
    <row r="78" spans="2:8" x14ac:dyDescent="0.25">
      <c r="B78" s="124" t="s">
        <v>152</v>
      </c>
      <c r="C78" s="124" t="s">
        <v>420</v>
      </c>
      <c r="D78" s="124" t="s">
        <v>557</v>
      </c>
      <c r="E78" s="211" t="s">
        <v>568</v>
      </c>
      <c r="F78" s="211" t="s">
        <v>618</v>
      </c>
      <c r="G78" s="211" t="s">
        <v>600</v>
      </c>
      <c r="H78" s="211" t="s">
        <v>605</v>
      </c>
    </row>
    <row r="79" spans="2:8" x14ac:dyDescent="0.25">
      <c r="B79" s="124"/>
      <c r="C79" s="124"/>
      <c r="D79" s="124" t="s">
        <v>558</v>
      </c>
      <c r="E79" s="211"/>
      <c r="F79" s="211" t="s">
        <v>558</v>
      </c>
      <c r="G79" s="201"/>
      <c r="H79" s="201"/>
    </row>
    <row r="80" spans="2:8" x14ac:dyDescent="0.25">
      <c r="B80" s="128"/>
      <c r="C80" s="124" t="s">
        <v>362</v>
      </c>
      <c r="D80" s="124" t="s">
        <v>557</v>
      </c>
      <c r="E80" s="327" t="s">
        <v>569</v>
      </c>
      <c r="F80" s="327" t="s">
        <v>617</v>
      </c>
      <c r="G80" s="205"/>
      <c r="H80" s="205"/>
    </row>
    <row r="81" spans="2:8" x14ac:dyDescent="0.25">
      <c r="B81" s="124"/>
      <c r="C81" s="124"/>
      <c r="D81" s="124" t="s">
        <v>559</v>
      </c>
      <c r="E81" s="211" t="s">
        <v>392</v>
      </c>
      <c r="F81" s="211" t="s">
        <v>558</v>
      </c>
      <c r="G81" s="201"/>
      <c r="H81" s="201"/>
    </row>
    <row r="82" spans="2:8" x14ac:dyDescent="0.25">
      <c r="B82" s="124"/>
      <c r="C82" s="124" t="s">
        <v>553</v>
      </c>
      <c r="D82" s="124" t="s">
        <v>560</v>
      </c>
      <c r="E82" s="211" t="s">
        <v>441</v>
      </c>
      <c r="F82" s="211" t="s">
        <v>617</v>
      </c>
      <c r="G82" s="201"/>
      <c r="H82" s="201"/>
    </row>
    <row r="83" spans="2:8" x14ac:dyDescent="0.25">
      <c r="C83" s="113"/>
      <c r="D83" s="326" t="s">
        <v>561</v>
      </c>
    </row>
    <row r="84" spans="2:8" x14ac:dyDescent="0.25">
      <c r="C84" s="113" t="s">
        <v>441</v>
      </c>
      <c r="D84" s="326" t="s">
        <v>562</v>
      </c>
    </row>
    <row r="85" spans="2:8" x14ac:dyDescent="0.25">
      <c r="C85" s="113"/>
      <c r="D85" s="326" t="s">
        <v>559</v>
      </c>
    </row>
  </sheetData>
  <mergeCells count="37">
    <mergeCell ref="A7:A8"/>
    <mergeCell ref="B7:B8"/>
    <mergeCell ref="C7:E7"/>
    <mergeCell ref="J7:L7"/>
    <mergeCell ref="O7:O8"/>
    <mergeCell ref="B45:H45"/>
    <mergeCell ref="C46:D46"/>
    <mergeCell ref="E46:F46"/>
    <mergeCell ref="G46:H46"/>
    <mergeCell ref="C47:H47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  <mergeCell ref="C51:D51"/>
    <mergeCell ref="E51:F51"/>
    <mergeCell ref="G51:H51"/>
    <mergeCell ref="C64:H64"/>
    <mergeCell ref="C52:D52"/>
    <mergeCell ref="E52:F52"/>
    <mergeCell ref="G52:H52"/>
    <mergeCell ref="C54:H54"/>
    <mergeCell ref="C55:D55"/>
    <mergeCell ref="E55:F55"/>
    <mergeCell ref="G55:H55"/>
    <mergeCell ref="C56:D56"/>
    <mergeCell ref="E56:F56"/>
    <mergeCell ref="G56:H56"/>
    <mergeCell ref="C58:H58"/>
    <mergeCell ref="C53:D53"/>
    <mergeCell ref="E53:F53"/>
    <mergeCell ref="G53:H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51"/>
  <sheetViews>
    <sheetView workbookViewId="0">
      <selection activeCell="R34" sqref="R34"/>
    </sheetView>
  </sheetViews>
  <sheetFormatPr defaultRowHeight="15" x14ac:dyDescent="0.25"/>
  <cols>
    <col min="1" max="1" width="3.42578125" customWidth="1"/>
    <col min="2" max="2" width="23.7109375" customWidth="1"/>
    <col min="3" max="3" width="13.28515625" customWidth="1"/>
    <col min="7" max="7" width="24.140625" customWidth="1"/>
    <col min="9" max="13" width="9.140625" style="298"/>
  </cols>
  <sheetData>
    <row r="2" spans="1:17" x14ac:dyDescent="0.25">
      <c r="B2" s="98" t="s">
        <v>626</v>
      </c>
    </row>
    <row r="3" spans="1:17" x14ac:dyDescent="0.25">
      <c r="B3" s="98" t="s">
        <v>627</v>
      </c>
    </row>
    <row r="5" spans="1:17" x14ac:dyDescent="0.25">
      <c r="A5" s="99" t="s">
        <v>670</v>
      </c>
    </row>
    <row r="6" spans="1:17" x14ac:dyDescent="0.25">
      <c r="A6" s="99"/>
    </row>
    <row r="8" spans="1:17" ht="63.75" x14ac:dyDescent="0.25">
      <c r="A8" s="372" t="s">
        <v>80</v>
      </c>
      <c r="B8" s="372" t="s">
        <v>2</v>
      </c>
      <c r="C8" s="419" t="s">
        <v>45</v>
      </c>
      <c r="D8" s="420"/>
      <c r="E8" s="421"/>
      <c r="F8" s="340" t="s">
        <v>48</v>
      </c>
      <c r="G8" s="372" t="s">
        <v>73</v>
      </c>
      <c r="H8" s="372"/>
      <c r="I8" s="419" t="s">
        <v>71</v>
      </c>
      <c r="J8" s="421"/>
      <c r="K8" s="398" t="s">
        <v>47</v>
      </c>
      <c r="L8" s="398"/>
      <c r="M8" s="398"/>
      <c r="N8" s="336" t="s">
        <v>74</v>
      </c>
      <c r="O8" s="103" t="s">
        <v>75</v>
      </c>
      <c r="P8" s="103" t="s">
        <v>76</v>
      </c>
      <c r="Q8" s="371" t="s">
        <v>13</v>
      </c>
    </row>
    <row r="9" spans="1:17" ht="76.5" x14ac:dyDescent="0.25">
      <c r="A9" s="372"/>
      <c r="B9" s="372"/>
      <c r="C9" s="107" t="s">
        <v>77</v>
      </c>
      <c r="D9" s="107" t="s">
        <v>15</v>
      </c>
      <c r="E9" s="107" t="s">
        <v>16</v>
      </c>
      <c r="F9" s="107" t="s">
        <v>22</v>
      </c>
      <c r="G9" s="103" t="s">
        <v>21</v>
      </c>
      <c r="H9" s="103" t="s">
        <v>16</v>
      </c>
      <c r="I9" s="329" t="s">
        <v>21</v>
      </c>
      <c r="J9" s="336" t="s">
        <v>16</v>
      </c>
      <c r="K9" s="329" t="s">
        <v>49</v>
      </c>
      <c r="L9" s="104" t="s">
        <v>15</v>
      </c>
      <c r="M9" s="104" t="s">
        <v>16</v>
      </c>
      <c r="N9" s="107" t="s">
        <v>16</v>
      </c>
      <c r="O9" s="107" t="s">
        <v>18</v>
      </c>
      <c r="P9" s="107" t="s">
        <v>19</v>
      </c>
      <c r="Q9" s="422"/>
    </row>
    <row r="11" spans="1:17" s="83" customFormat="1" ht="12.75" x14ac:dyDescent="0.2">
      <c r="A11" s="111" t="s">
        <v>294</v>
      </c>
    </row>
    <row r="12" spans="1:17" s="83" customFormat="1" ht="12.75" x14ac:dyDescent="0.2">
      <c r="A12" s="179">
        <v>1</v>
      </c>
      <c r="B12" s="179" t="s">
        <v>671</v>
      </c>
      <c r="C12" s="190">
        <v>0.91</v>
      </c>
      <c r="D12" s="190">
        <v>100</v>
      </c>
      <c r="E12" s="190">
        <v>10</v>
      </c>
      <c r="F12" s="191">
        <v>141</v>
      </c>
      <c r="G12" s="190">
        <v>33.68</v>
      </c>
      <c r="H12" s="190">
        <v>5</v>
      </c>
      <c r="I12" s="191">
        <v>23.24</v>
      </c>
      <c r="J12" s="190">
        <v>7</v>
      </c>
      <c r="K12" s="188">
        <f>(((C12*86)/100)*I12)/100</f>
        <v>0.18187623999999999</v>
      </c>
      <c r="L12" s="190">
        <v>100</v>
      </c>
      <c r="M12" s="190">
        <v>5</v>
      </c>
      <c r="N12" s="190">
        <v>9</v>
      </c>
      <c r="O12" s="190">
        <v>82</v>
      </c>
      <c r="P12" s="190">
        <v>118</v>
      </c>
      <c r="Q12" s="161">
        <f>SUM(E12+H12+J12+M12+N12)</f>
        <v>36</v>
      </c>
    </row>
    <row r="13" spans="1:17" s="83" customFormat="1" ht="12.75" x14ac:dyDescent="0.2">
      <c r="Q13" s="111"/>
    </row>
    <row r="14" spans="1:17" s="83" customFormat="1" ht="12.75" x14ac:dyDescent="0.2">
      <c r="A14" s="111" t="s">
        <v>295</v>
      </c>
      <c r="Q14" s="111"/>
    </row>
    <row r="15" spans="1:17" s="83" customFormat="1" ht="12.75" x14ac:dyDescent="0.2">
      <c r="A15" s="179">
        <v>1</v>
      </c>
      <c r="B15" s="179" t="s">
        <v>671</v>
      </c>
      <c r="C15" s="190">
        <v>1.84</v>
      </c>
      <c r="D15" s="190">
        <v>100</v>
      </c>
      <c r="E15" s="190">
        <v>10</v>
      </c>
      <c r="F15" s="191">
        <v>139.80000000000001</v>
      </c>
      <c r="G15" s="190">
        <v>37.729999999999997</v>
      </c>
      <c r="H15" s="190">
        <v>7</v>
      </c>
      <c r="I15" s="191">
        <v>20.99</v>
      </c>
      <c r="J15" s="190">
        <v>5</v>
      </c>
      <c r="K15" s="188">
        <f>(((C15*86)/100)*I15)/100</f>
        <v>0.33214576000000001</v>
      </c>
      <c r="L15" s="190">
        <v>100</v>
      </c>
      <c r="M15" s="190">
        <v>5</v>
      </c>
      <c r="N15" s="190">
        <v>8</v>
      </c>
      <c r="O15" s="190">
        <v>107</v>
      </c>
      <c r="P15" s="190">
        <v>100</v>
      </c>
      <c r="Q15" s="161">
        <f>SUM(E15+H15+J15+M15+N15)</f>
        <v>35</v>
      </c>
    </row>
    <row r="16" spans="1:17" s="83" customFormat="1" ht="12.75" x14ac:dyDescent="0.2">
      <c r="Q16" s="111"/>
    </row>
    <row r="17" spans="1:17" s="83" customFormat="1" ht="12.75" x14ac:dyDescent="0.2">
      <c r="A17" s="111" t="s">
        <v>293</v>
      </c>
      <c r="Q17" s="111"/>
    </row>
    <row r="18" spans="1:17" s="83" customFormat="1" ht="12.75" x14ac:dyDescent="0.2">
      <c r="A18" s="179">
        <v>1</v>
      </c>
      <c r="B18" s="179" t="s">
        <v>671</v>
      </c>
      <c r="C18" s="188">
        <f>SUM(C12+C15)/2</f>
        <v>1.375</v>
      </c>
      <c r="D18" s="190">
        <v>100</v>
      </c>
      <c r="E18" s="190">
        <v>10</v>
      </c>
      <c r="F18" s="191">
        <f>SUM(F12+F15)/2</f>
        <v>140.4</v>
      </c>
      <c r="G18" s="188">
        <f>SUM(G12+G15)/2</f>
        <v>35.704999999999998</v>
      </c>
      <c r="H18" s="190">
        <v>6</v>
      </c>
      <c r="I18" s="191">
        <f>SUM(I12+I15)/2</f>
        <v>22.114999999999998</v>
      </c>
      <c r="J18" s="190">
        <v>6</v>
      </c>
      <c r="K18" s="188">
        <f>(((C18*86)/100)*I18)/100</f>
        <v>0.261509875</v>
      </c>
      <c r="L18" s="190">
        <v>100</v>
      </c>
      <c r="M18" s="190">
        <v>5</v>
      </c>
      <c r="N18" s="189">
        <f>SUM(N12+N15)/2</f>
        <v>8.5</v>
      </c>
      <c r="O18" s="189">
        <f>SUM(O12+O15)/2</f>
        <v>94.5</v>
      </c>
      <c r="P18" s="189">
        <f>SUM(P12+P15)/2</f>
        <v>109</v>
      </c>
      <c r="Q18" s="344">
        <f>SUM(E18+H18+J18+M18+N18)</f>
        <v>35.5</v>
      </c>
    </row>
    <row r="20" spans="1:17" x14ac:dyDescent="0.25">
      <c r="B20" s="367" t="s">
        <v>104</v>
      </c>
      <c r="C20" s="367"/>
      <c r="D20" s="367"/>
      <c r="E20" s="367"/>
      <c r="F20" s="367"/>
      <c r="G20" s="367"/>
    </row>
    <row r="21" spans="1:17" x14ac:dyDescent="0.25">
      <c r="B21" s="123" t="s">
        <v>454</v>
      </c>
      <c r="C21" s="363" t="s">
        <v>105</v>
      </c>
      <c r="D21" s="357"/>
      <c r="E21" s="357"/>
      <c r="F21" s="364"/>
      <c r="G21" s="337" t="s">
        <v>145</v>
      </c>
    </row>
    <row r="22" spans="1:17" x14ac:dyDescent="0.25">
      <c r="B22" s="124" t="s">
        <v>106</v>
      </c>
      <c r="C22" s="368"/>
      <c r="D22" s="369"/>
      <c r="E22" s="369"/>
      <c r="F22" s="369"/>
      <c r="G22" s="370"/>
    </row>
    <row r="23" spans="1:17" s="87" customFormat="1" x14ac:dyDescent="0.25">
      <c r="B23" s="124" t="s">
        <v>156</v>
      </c>
      <c r="C23" s="363" t="s">
        <v>270</v>
      </c>
      <c r="D23" s="357"/>
      <c r="E23" s="357"/>
      <c r="F23" s="364"/>
      <c r="G23" s="337" t="s">
        <v>672</v>
      </c>
      <c r="I23" s="298"/>
      <c r="J23" s="298"/>
      <c r="K23" s="298"/>
      <c r="L23" s="298"/>
      <c r="M23" s="298"/>
    </row>
    <row r="24" spans="1:17" x14ac:dyDescent="0.25">
      <c r="B24" s="124" t="s">
        <v>107</v>
      </c>
      <c r="C24" s="407">
        <v>2</v>
      </c>
      <c r="D24" s="404"/>
      <c r="E24" s="404"/>
      <c r="F24" s="408"/>
      <c r="G24" s="337" t="s">
        <v>262</v>
      </c>
    </row>
    <row r="25" spans="1:17" x14ac:dyDescent="0.25">
      <c r="B25" s="124" t="s">
        <v>108</v>
      </c>
      <c r="C25" s="361">
        <v>5.5</v>
      </c>
      <c r="D25" s="356"/>
      <c r="E25" s="356"/>
      <c r="F25" s="362"/>
      <c r="G25" s="337" t="s">
        <v>263</v>
      </c>
    </row>
    <row r="26" spans="1:17" x14ac:dyDescent="0.25">
      <c r="B26" s="124" t="s">
        <v>109</v>
      </c>
      <c r="C26" s="389">
        <v>113</v>
      </c>
      <c r="D26" s="418"/>
      <c r="E26" s="418"/>
      <c r="F26" s="390"/>
      <c r="G26" s="337" t="s">
        <v>264</v>
      </c>
    </row>
    <row r="27" spans="1:17" x14ac:dyDescent="0.25">
      <c r="B27" s="124" t="s">
        <v>110</v>
      </c>
      <c r="C27" s="389">
        <v>130</v>
      </c>
      <c r="D27" s="418"/>
      <c r="E27" s="418"/>
      <c r="F27" s="390"/>
      <c r="G27" s="337" t="s">
        <v>265</v>
      </c>
    </row>
    <row r="28" spans="1:17" s="87" customFormat="1" x14ac:dyDescent="0.25">
      <c r="B28" s="124" t="s">
        <v>119</v>
      </c>
      <c r="C28" s="389" t="s">
        <v>240</v>
      </c>
      <c r="D28" s="418"/>
      <c r="E28" s="418"/>
      <c r="F28" s="418"/>
      <c r="G28" s="338" t="s">
        <v>673</v>
      </c>
      <c r="I28" s="298"/>
      <c r="J28" s="298"/>
      <c r="K28" s="298"/>
      <c r="L28" s="298"/>
      <c r="M28" s="298"/>
    </row>
    <row r="29" spans="1:17" x14ac:dyDescent="0.25">
      <c r="B29" s="124" t="s">
        <v>140</v>
      </c>
      <c r="C29" s="363" t="s">
        <v>674</v>
      </c>
      <c r="D29" s="357"/>
      <c r="E29" s="357"/>
      <c r="F29" s="357"/>
      <c r="G29" s="357"/>
    </row>
    <row r="30" spans="1:17" x14ac:dyDescent="0.25">
      <c r="B30" s="124" t="s">
        <v>111</v>
      </c>
      <c r="C30" s="361" t="s">
        <v>271</v>
      </c>
      <c r="D30" s="356"/>
      <c r="E30" s="356"/>
      <c r="F30" s="362"/>
      <c r="G30" s="339" t="s">
        <v>667</v>
      </c>
    </row>
    <row r="31" spans="1:17" x14ac:dyDescent="0.25">
      <c r="B31" s="123" t="s">
        <v>112</v>
      </c>
      <c r="C31" s="361" t="s">
        <v>254</v>
      </c>
      <c r="D31" s="356"/>
      <c r="E31" s="356"/>
      <c r="F31" s="362"/>
      <c r="G31" s="339" t="s">
        <v>664</v>
      </c>
    </row>
    <row r="32" spans="1:17" s="87" customFormat="1" x14ac:dyDescent="0.25">
      <c r="B32" s="123"/>
      <c r="C32" s="219"/>
      <c r="D32" s="218"/>
      <c r="E32" s="218"/>
      <c r="F32" s="218"/>
      <c r="G32" s="209"/>
      <c r="I32" s="298"/>
      <c r="J32" s="298"/>
      <c r="K32" s="298"/>
      <c r="L32" s="298"/>
      <c r="M32" s="298"/>
    </row>
    <row r="33" spans="2:13" x14ac:dyDescent="0.25">
      <c r="B33" s="124" t="s">
        <v>113</v>
      </c>
      <c r="C33" s="368"/>
      <c r="D33" s="369"/>
      <c r="E33" s="369"/>
      <c r="F33" s="369"/>
      <c r="G33" s="370"/>
    </row>
    <row r="34" spans="2:13" x14ac:dyDescent="0.25">
      <c r="B34" s="124" t="s">
        <v>114</v>
      </c>
      <c r="C34" s="211" t="s">
        <v>231</v>
      </c>
      <c r="D34" s="361" t="s">
        <v>273</v>
      </c>
      <c r="E34" s="356"/>
      <c r="F34" s="362"/>
      <c r="G34" s="177" t="s">
        <v>675</v>
      </c>
    </row>
    <row r="35" spans="2:13" ht="15.75" x14ac:dyDescent="0.25">
      <c r="B35" s="124" t="s">
        <v>677</v>
      </c>
      <c r="C35" s="201"/>
      <c r="D35" s="409"/>
      <c r="E35" s="410"/>
      <c r="F35" s="411"/>
      <c r="G35" s="345" t="s">
        <v>676</v>
      </c>
    </row>
    <row r="36" spans="2:13" s="87" customFormat="1" x14ac:dyDescent="0.25">
      <c r="B36" s="124" t="s">
        <v>244</v>
      </c>
      <c r="C36" s="211" t="s">
        <v>276</v>
      </c>
      <c r="D36" s="412" t="s">
        <v>245</v>
      </c>
      <c r="E36" s="413"/>
      <c r="F36" s="414"/>
      <c r="G36" s="210"/>
      <c r="I36" s="298"/>
      <c r="J36" s="298"/>
      <c r="K36" s="298"/>
      <c r="L36" s="298"/>
      <c r="M36" s="298"/>
    </row>
    <row r="37" spans="2:13" s="87" customFormat="1" x14ac:dyDescent="0.25">
      <c r="B37" s="124"/>
      <c r="C37" s="201"/>
      <c r="D37" s="409"/>
      <c r="E37" s="410"/>
      <c r="F37" s="411"/>
      <c r="G37" s="210"/>
      <c r="I37" s="298"/>
      <c r="J37" s="298"/>
      <c r="K37" s="298"/>
      <c r="L37" s="298"/>
      <c r="M37" s="298"/>
    </row>
    <row r="38" spans="2:13" s="87" customFormat="1" x14ac:dyDescent="0.25">
      <c r="B38" s="124"/>
      <c r="C38" s="201"/>
      <c r="D38" s="409"/>
      <c r="E38" s="410"/>
      <c r="F38" s="411"/>
      <c r="G38" s="210"/>
      <c r="I38" s="298"/>
      <c r="J38" s="298"/>
      <c r="K38" s="298"/>
      <c r="L38" s="298"/>
      <c r="M38" s="298"/>
    </row>
    <row r="39" spans="2:13" x14ac:dyDescent="0.25">
      <c r="B39" s="124" t="s">
        <v>115</v>
      </c>
      <c r="C39" s="201"/>
      <c r="D39" s="409"/>
      <c r="E39" s="410"/>
      <c r="F39" s="411"/>
      <c r="G39" s="210"/>
    </row>
    <row r="40" spans="2:13" x14ac:dyDescent="0.25">
      <c r="B40" s="124" t="s">
        <v>116</v>
      </c>
      <c r="C40" s="211" t="s">
        <v>235</v>
      </c>
      <c r="D40" s="412" t="s">
        <v>278</v>
      </c>
      <c r="E40" s="413"/>
      <c r="F40" s="414"/>
      <c r="G40" s="211" t="s">
        <v>678</v>
      </c>
    </row>
    <row r="41" spans="2:13" s="87" customFormat="1" x14ac:dyDescent="0.25">
      <c r="B41" s="124"/>
      <c r="C41" s="211" t="s">
        <v>229</v>
      </c>
      <c r="D41" s="412" t="s">
        <v>279</v>
      </c>
      <c r="E41" s="413"/>
      <c r="F41" s="414"/>
      <c r="G41" s="211"/>
      <c r="I41" s="298"/>
      <c r="J41" s="298"/>
      <c r="K41" s="298"/>
      <c r="L41" s="298"/>
      <c r="M41" s="298"/>
    </row>
    <row r="42" spans="2:13" x14ac:dyDescent="0.25">
      <c r="B42" s="127"/>
      <c r="C42" s="211"/>
      <c r="D42" s="412"/>
      <c r="E42" s="413"/>
      <c r="F42" s="414"/>
      <c r="G42" s="201"/>
    </row>
    <row r="43" spans="2:13" x14ac:dyDescent="0.25">
      <c r="B43" s="124" t="s">
        <v>123</v>
      </c>
      <c r="C43" s="211"/>
      <c r="D43" s="412"/>
      <c r="E43" s="413"/>
      <c r="F43" s="414"/>
      <c r="G43" s="211"/>
    </row>
    <row r="44" spans="2:13" s="87" customFormat="1" x14ac:dyDescent="0.25">
      <c r="B44" s="124"/>
      <c r="C44" s="211"/>
      <c r="D44" s="412"/>
      <c r="E44" s="413"/>
      <c r="F44" s="414"/>
      <c r="G44" s="201"/>
      <c r="I44" s="298"/>
      <c r="J44" s="298"/>
      <c r="K44" s="298"/>
      <c r="L44" s="298"/>
      <c r="M44" s="298"/>
    </row>
    <row r="45" spans="2:13" x14ac:dyDescent="0.25">
      <c r="B45" s="124" t="s">
        <v>117</v>
      </c>
      <c r="C45" s="211" t="s">
        <v>236</v>
      </c>
      <c r="D45" s="412" t="s">
        <v>122</v>
      </c>
      <c r="E45" s="413"/>
      <c r="F45" s="414"/>
      <c r="G45" s="211"/>
    </row>
    <row r="46" spans="2:13" s="87" customFormat="1" x14ac:dyDescent="0.25">
      <c r="B46" s="124"/>
      <c r="C46" s="211" t="s">
        <v>251</v>
      </c>
      <c r="D46" s="412" t="s">
        <v>122</v>
      </c>
      <c r="E46" s="413"/>
      <c r="F46" s="414"/>
      <c r="G46" s="211"/>
      <c r="I46" s="298"/>
      <c r="J46" s="298"/>
      <c r="K46" s="298"/>
      <c r="L46" s="298"/>
      <c r="M46" s="298"/>
    </row>
    <row r="47" spans="2:13" s="87" customFormat="1" x14ac:dyDescent="0.25">
      <c r="B47" s="56"/>
      <c r="C47" s="200"/>
      <c r="D47" s="415"/>
      <c r="E47" s="416"/>
      <c r="F47" s="417"/>
      <c r="G47" s="211"/>
      <c r="I47" s="298"/>
      <c r="J47" s="298"/>
      <c r="K47" s="298"/>
      <c r="L47" s="298"/>
      <c r="M47" s="298"/>
    </row>
    <row r="48" spans="2:13" s="87" customFormat="1" x14ac:dyDescent="0.25">
      <c r="B48" s="56"/>
      <c r="C48" s="200"/>
      <c r="D48" s="415"/>
      <c r="E48" s="416"/>
      <c r="F48" s="417"/>
      <c r="G48" s="201"/>
      <c r="I48" s="298"/>
      <c r="J48" s="298"/>
      <c r="K48" s="298"/>
      <c r="L48" s="298"/>
      <c r="M48" s="298"/>
    </row>
    <row r="49" spans="2:7" x14ac:dyDescent="0.25">
      <c r="B49" s="124" t="s">
        <v>144</v>
      </c>
      <c r="C49" s="201"/>
      <c r="D49" s="409"/>
      <c r="E49" s="410"/>
      <c r="F49" s="411"/>
      <c r="G49" s="211" t="s">
        <v>679</v>
      </c>
    </row>
    <row r="50" spans="2:7" x14ac:dyDescent="0.25">
      <c r="B50" s="127"/>
      <c r="C50" s="201"/>
      <c r="D50" s="409"/>
      <c r="E50" s="410"/>
      <c r="F50" s="411"/>
      <c r="G50" s="211"/>
    </row>
    <row r="51" spans="2:7" x14ac:dyDescent="0.25">
      <c r="B51" s="224"/>
      <c r="C51" s="225"/>
      <c r="D51" s="225"/>
      <c r="E51" s="225"/>
      <c r="F51" s="225"/>
    </row>
  </sheetData>
  <mergeCells count="37">
    <mergeCell ref="C8:E8"/>
    <mergeCell ref="Q8:Q9"/>
    <mergeCell ref="A8:A9"/>
    <mergeCell ref="B8:B9"/>
    <mergeCell ref="G8:H8"/>
    <mergeCell ref="K8:M8"/>
    <mergeCell ref="I8:J8"/>
    <mergeCell ref="B20:G20"/>
    <mergeCell ref="C21:F21"/>
    <mergeCell ref="C22:G22"/>
    <mergeCell ref="C24:F24"/>
    <mergeCell ref="C23:F23"/>
    <mergeCell ref="C25:F25"/>
    <mergeCell ref="C26:F26"/>
    <mergeCell ref="C27:F27"/>
    <mergeCell ref="D34:F34"/>
    <mergeCell ref="D35:F35"/>
    <mergeCell ref="C28:F28"/>
    <mergeCell ref="C33:G33"/>
    <mergeCell ref="C29:G29"/>
    <mergeCell ref="C30:F30"/>
    <mergeCell ref="C31:F31"/>
    <mergeCell ref="D50:F50"/>
    <mergeCell ref="D36:F36"/>
    <mergeCell ref="D37:F37"/>
    <mergeCell ref="D38:F38"/>
    <mergeCell ref="D40:F40"/>
    <mergeCell ref="D43:F43"/>
    <mergeCell ref="D44:F44"/>
    <mergeCell ref="D45:F45"/>
    <mergeCell ref="D46:F46"/>
    <mergeCell ref="D47:F47"/>
    <mergeCell ref="D39:F39"/>
    <mergeCell ref="D41:F41"/>
    <mergeCell ref="D42:F42"/>
    <mergeCell ref="D48:F48"/>
    <mergeCell ref="D49:F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A63"/>
  <sheetViews>
    <sheetView workbookViewId="0">
      <selection activeCell="L5" sqref="L5"/>
    </sheetView>
  </sheetViews>
  <sheetFormatPr defaultRowHeight="15" x14ac:dyDescent="0.25"/>
  <cols>
    <col min="1" max="1" width="4.28515625" customWidth="1"/>
    <col min="2" max="2" width="25.85546875" customWidth="1"/>
    <col min="3" max="3" width="12.7109375" customWidth="1"/>
    <col min="4" max="4" width="17.140625" customWidth="1"/>
    <col min="5" max="5" width="11.7109375" customWidth="1"/>
    <col min="6" max="6" width="22.140625" customWidth="1"/>
    <col min="11" max="11" width="8.85546875" style="87"/>
    <col min="12" max="12" width="12.85546875" style="87" customWidth="1"/>
  </cols>
  <sheetData>
    <row r="2" spans="1:27" x14ac:dyDescent="0.25">
      <c r="B2" s="112" t="s">
        <v>628</v>
      </c>
    </row>
    <row r="3" spans="1:27" s="87" customFormat="1" x14ac:dyDescent="0.25">
      <c r="B3" s="106" t="s">
        <v>629</v>
      </c>
    </row>
    <row r="5" spans="1:27" x14ac:dyDescent="0.25">
      <c r="A5" s="55" t="s">
        <v>83</v>
      </c>
    </row>
    <row r="6" spans="1:27" x14ac:dyDescent="0.25">
      <c r="A6" s="55" t="s">
        <v>285</v>
      </c>
    </row>
    <row r="8" spans="1:27" ht="14.45" customHeight="1" x14ac:dyDescent="0.25">
      <c r="A8" s="387" t="s">
        <v>1</v>
      </c>
      <c r="B8" s="387" t="s">
        <v>34</v>
      </c>
      <c r="C8" s="387" t="s">
        <v>100</v>
      </c>
      <c r="D8" s="387" t="s">
        <v>101</v>
      </c>
      <c r="E8" s="387"/>
      <c r="F8" s="387" t="s">
        <v>102</v>
      </c>
      <c r="G8" s="387" t="s">
        <v>103</v>
      </c>
      <c r="H8" s="387"/>
      <c r="I8" s="387" t="s">
        <v>35</v>
      </c>
      <c r="J8" s="387"/>
      <c r="K8" s="430" t="s">
        <v>129</v>
      </c>
      <c r="L8" s="432" t="s">
        <v>131</v>
      </c>
      <c r="M8" s="387" t="s">
        <v>84</v>
      </c>
      <c r="N8" s="387"/>
      <c r="O8" s="387"/>
      <c r="P8" s="387"/>
      <c r="Q8" s="387"/>
      <c r="R8" s="387"/>
      <c r="S8" s="387" t="s">
        <v>85</v>
      </c>
      <c r="T8" s="387"/>
      <c r="U8" s="387"/>
      <c r="V8" s="387"/>
      <c r="W8" s="387" t="s">
        <v>86</v>
      </c>
      <c r="X8" s="387" t="s">
        <v>88</v>
      </c>
      <c r="Y8" s="434" t="s">
        <v>87</v>
      </c>
      <c r="Z8" s="387" t="s">
        <v>89</v>
      </c>
      <c r="AA8" s="388" t="s">
        <v>90</v>
      </c>
    </row>
    <row r="9" spans="1:27" ht="72" customHeight="1" x14ac:dyDescent="0.25">
      <c r="A9" s="387"/>
      <c r="B9" s="387"/>
      <c r="C9" s="387"/>
      <c r="D9" s="387"/>
      <c r="E9" s="387"/>
      <c r="F9" s="387"/>
      <c r="G9" s="387"/>
      <c r="H9" s="387"/>
      <c r="I9" s="387"/>
      <c r="J9" s="387"/>
      <c r="K9" s="431"/>
      <c r="L9" s="433"/>
      <c r="M9" s="436" t="s">
        <v>91</v>
      </c>
      <c r="N9" s="436"/>
      <c r="O9" s="436" t="s">
        <v>92</v>
      </c>
      <c r="P9" s="436"/>
      <c r="Q9" s="436" t="s">
        <v>93</v>
      </c>
      <c r="R9" s="436"/>
      <c r="S9" s="436" t="s">
        <v>91</v>
      </c>
      <c r="T9" s="436"/>
      <c r="U9" s="436" t="s">
        <v>94</v>
      </c>
      <c r="V9" s="436"/>
      <c r="W9" s="387"/>
      <c r="X9" s="387"/>
      <c r="Y9" s="438"/>
      <c r="Z9" s="387"/>
      <c r="AA9" s="388"/>
    </row>
    <row r="10" spans="1:27" x14ac:dyDescent="0.25">
      <c r="A10" s="387"/>
      <c r="B10" s="387"/>
      <c r="C10" s="387"/>
      <c r="D10" s="387" t="s">
        <v>21</v>
      </c>
      <c r="E10" s="387" t="s">
        <v>95</v>
      </c>
      <c r="F10" s="387"/>
      <c r="G10" s="387" t="s">
        <v>21</v>
      </c>
      <c r="H10" s="387" t="s">
        <v>95</v>
      </c>
      <c r="I10" s="387" t="s">
        <v>21</v>
      </c>
      <c r="J10" s="387" t="s">
        <v>95</v>
      </c>
      <c r="K10" s="434" t="s">
        <v>130</v>
      </c>
      <c r="L10" s="434" t="s">
        <v>21</v>
      </c>
      <c r="M10" s="437" t="s">
        <v>96</v>
      </c>
      <c r="N10" s="437"/>
      <c r="O10" s="437" t="s">
        <v>97</v>
      </c>
      <c r="P10" s="437"/>
      <c r="Q10" s="437" t="s">
        <v>98</v>
      </c>
      <c r="R10" s="437"/>
      <c r="S10" s="437" t="s">
        <v>96</v>
      </c>
      <c r="T10" s="437"/>
      <c r="U10" s="437" t="s">
        <v>99</v>
      </c>
      <c r="V10" s="437"/>
      <c r="W10" s="387"/>
      <c r="X10" s="387"/>
      <c r="Y10" s="438"/>
      <c r="Z10" s="387"/>
      <c r="AA10" s="388"/>
    </row>
    <row r="11" spans="1:27" ht="40.9" customHeight="1" x14ac:dyDescent="0.25">
      <c r="A11" s="387"/>
      <c r="B11" s="387"/>
      <c r="C11" s="387"/>
      <c r="D11" s="387"/>
      <c r="E11" s="387"/>
      <c r="F11" s="387"/>
      <c r="G11" s="387"/>
      <c r="H11" s="387"/>
      <c r="I11" s="387"/>
      <c r="J11" s="387"/>
      <c r="K11" s="435"/>
      <c r="L11" s="435"/>
      <c r="M11" s="110" t="s">
        <v>21</v>
      </c>
      <c r="N11" s="110" t="s">
        <v>95</v>
      </c>
      <c r="O11" s="110" t="s">
        <v>21</v>
      </c>
      <c r="P11" s="110" t="s">
        <v>95</v>
      </c>
      <c r="Q11" s="110" t="s">
        <v>21</v>
      </c>
      <c r="R11" s="110" t="s">
        <v>95</v>
      </c>
      <c r="S11" s="53" t="s">
        <v>21</v>
      </c>
      <c r="T11" s="53" t="s">
        <v>95</v>
      </c>
      <c r="U11" s="53" t="s">
        <v>21</v>
      </c>
      <c r="V11" s="53" t="s">
        <v>95</v>
      </c>
      <c r="W11" s="387"/>
      <c r="X11" s="387"/>
      <c r="Y11" s="435"/>
      <c r="Z11" s="387"/>
      <c r="AA11" s="388"/>
    </row>
    <row r="13" spans="1:27" x14ac:dyDescent="0.25">
      <c r="A13" s="111" t="s">
        <v>295</v>
      </c>
    </row>
    <row r="14" spans="1:27" x14ac:dyDescent="0.25">
      <c r="A14" s="115">
        <v>1</v>
      </c>
      <c r="B14" s="116" t="s">
        <v>128</v>
      </c>
      <c r="C14" s="116">
        <v>22.14</v>
      </c>
      <c r="D14" s="116">
        <v>100</v>
      </c>
      <c r="E14" s="116">
        <v>10</v>
      </c>
      <c r="F14" s="116">
        <v>20.41</v>
      </c>
      <c r="G14" s="116">
        <v>100</v>
      </c>
      <c r="H14" s="116">
        <v>5</v>
      </c>
      <c r="I14" s="140">
        <v>20.2</v>
      </c>
      <c r="J14" s="116">
        <v>9</v>
      </c>
      <c r="K14" s="120">
        <f>C14*I14/100</f>
        <v>4.4722800000000005</v>
      </c>
      <c r="L14" s="116">
        <v>100</v>
      </c>
      <c r="M14" s="116">
        <v>10</v>
      </c>
      <c r="N14" s="116">
        <v>8</v>
      </c>
      <c r="O14" s="116">
        <v>0</v>
      </c>
      <c r="P14" s="116">
        <v>9</v>
      </c>
      <c r="Q14" s="116">
        <v>0</v>
      </c>
      <c r="R14" s="116">
        <v>9</v>
      </c>
      <c r="S14" s="116">
        <v>10</v>
      </c>
      <c r="T14" s="116">
        <v>8</v>
      </c>
      <c r="U14" s="116">
        <v>75</v>
      </c>
      <c r="V14" s="116">
        <v>2</v>
      </c>
      <c r="W14" s="116">
        <v>84</v>
      </c>
      <c r="X14" s="118">
        <v>98.3</v>
      </c>
      <c r="Y14" s="143">
        <v>27.55</v>
      </c>
      <c r="Z14" s="118">
        <v>7</v>
      </c>
      <c r="AA14" s="287">
        <f>SUM(E14+H14+J14+N14+P14+R14+T14+V14)</f>
        <v>60</v>
      </c>
    </row>
    <row r="15" spans="1:27" s="87" customFormat="1" x14ac:dyDescent="0.25">
      <c r="A15" s="115">
        <v>2</v>
      </c>
      <c r="B15" s="116" t="s">
        <v>284</v>
      </c>
      <c r="C15" s="116">
        <v>30.62</v>
      </c>
      <c r="D15" s="116">
        <v>100</v>
      </c>
      <c r="E15" s="116">
        <v>10</v>
      </c>
      <c r="F15" s="116">
        <v>28.05</v>
      </c>
      <c r="G15" s="116">
        <v>100</v>
      </c>
      <c r="H15" s="116">
        <v>5</v>
      </c>
      <c r="I15" s="140">
        <v>16.5</v>
      </c>
      <c r="J15" s="116">
        <v>5</v>
      </c>
      <c r="K15" s="120">
        <f>C15*I15/100</f>
        <v>5.0522999999999998</v>
      </c>
      <c r="L15" s="116">
        <v>100</v>
      </c>
      <c r="M15" s="116">
        <v>5</v>
      </c>
      <c r="N15" s="116">
        <v>8</v>
      </c>
      <c r="O15" s="116">
        <v>0</v>
      </c>
      <c r="P15" s="116">
        <v>9</v>
      </c>
      <c r="Q15" s="116">
        <v>0</v>
      </c>
      <c r="R15" s="116">
        <v>9</v>
      </c>
      <c r="S15" s="116">
        <v>5</v>
      </c>
      <c r="T15" s="116">
        <v>8</v>
      </c>
      <c r="U15" s="116">
        <v>30</v>
      </c>
      <c r="V15" s="116">
        <v>6</v>
      </c>
      <c r="W15" s="116">
        <v>84</v>
      </c>
      <c r="X15" s="118">
        <v>132.5</v>
      </c>
      <c r="Y15" s="143">
        <v>23.05</v>
      </c>
      <c r="Z15" s="118">
        <v>5.8</v>
      </c>
      <c r="AA15" s="287">
        <f>SUM(E15+H15+J15+N15+P15+R15+T15+V15)</f>
        <v>60</v>
      </c>
    </row>
    <row r="16" spans="1:27" s="87" customFormat="1" x14ac:dyDescent="0.25">
      <c r="A16" s="282"/>
      <c r="B16" s="283" t="s">
        <v>300</v>
      </c>
      <c r="C16" s="284">
        <f>SUM(C14:C15)/2</f>
        <v>26.380000000000003</v>
      </c>
      <c r="D16" s="283">
        <v>100</v>
      </c>
      <c r="E16" s="283">
        <v>10</v>
      </c>
      <c r="F16" s="284">
        <f>SUM(F14:F15)/2</f>
        <v>24.23</v>
      </c>
      <c r="G16" s="283">
        <v>100</v>
      </c>
      <c r="H16" s="283">
        <v>5</v>
      </c>
      <c r="I16" s="286">
        <f>SUM(I14:I15)/2</f>
        <v>18.350000000000001</v>
      </c>
      <c r="J16" s="283">
        <v>7</v>
      </c>
      <c r="K16" s="284">
        <f>SUM(K14:K15)/2</f>
        <v>4.7622900000000001</v>
      </c>
      <c r="L16" s="283">
        <v>100</v>
      </c>
      <c r="M16" s="283">
        <f>SUM(M14:M15)/2</f>
        <v>7.5</v>
      </c>
      <c r="N16" s="283">
        <v>8</v>
      </c>
      <c r="O16" s="283">
        <f>SUM(O14:O15)/2</f>
        <v>0</v>
      </c>
      <c r="P16" s="283">
        <v>9</v>
      </c>
      <c r="Q16" s="283">
        <f>SUM(Q14:Q15)/2</f>
        <v>0</v>
      </c>
      <c r="R16" s="283">
        <v>9</v>
      </c>
      <c r="S16" s="283">
        <f>SUM(S14:S15)/2</f>
        <v>7.5</v>
      </c>
      <c r="T16" s="283">
        <v>8</v>
      </c>
      <c r="U16" s="283">
        <f>SUM(U14:U15)/2</f>
        <v>52.5</v>
      </c>
      <c r="V16" s="283">
        <v>3</v>
      </c>
      <c r="W16" s="285">
        <f t="shared" ref="W16:Z16" si="0">SUM(W14:W15)/2</f>
        <v>84</v>
      </c>
      <c r="X16" s="286">
        <f t="shared" si="0"/>
        <v>115.4</v>
      </c>
      <c r="Y16" s="284">
        <f t="shared" si="0"/>
        <v>25.3</v>
      </c>
      <c r="Z16" s="286">
        <f t="shared" si="0"/>
        <v>6.4</v>
      </c>
      <c r="AA16" s="288">
        <f>SUM(E16+H16+J16+N16+P16+R16+T16+V16)</f>
        <v>59</v>
      </c>
    </row>
    <row r="17" spans="1:27" x14ac:dyDescent="0.25">
      <c r="A17" s="113">
        <v>3</v>
      </c>
      <c r="B17" s="40" t="s">
        <v>630</v>
      </c>
      <c r="C17" s="40">
        <v>27.27</v>
      </c>
      <c r="D17" s="119">
        <f>C17*D14/((C14+C15)/2)</f>
        <v>103.37376800606519</v>
      </c>
      <c r="E17" s="40">
        <v>10</v>
      </c>
      <c r="F17" s="40">
        <v>25.35</v>
      </c>
      <c r="G17" s="119">
        <f>F17*G14/((F14+F15)/2)</f>
        <v>104.62236896409409</v>
      </c>
      <c r="H17" s="40">
        <v>5</v>
      </c>
      <c r="I17" s="141">
        <v>23.6</v>
      </c>
      <c r="J17" s="40">
        <v>9</v>
      </c>
      <c r="K17" s="122">
        <f>C17*I17/100</f>
        <v>6.4357199999999999</v>
      </c>
      <c r="L17" s="119">
        <f>K17*L14/((K14+K15)/2)</f>
        <v>135.13918723975229</v>
      </c>
      <c r="M17" s="40">
        <v>10</v>
      </c>
      <c r="N17" s="40">
        <v>8</v>
      </c>
      <c r="O17" s="40">
        <v>0</v>
      </c>
      <c r="P17" s="40">
        <v>9</v>
      </c>
      <c r="Q17" s="40">
        <v>0</v>
      </c>
      <c r="R17" s="40">
        <v>9</v>
      </c>
      <c r="S17" s="40">
        <v>5</v>
      </c>
      <c r="T17" s="40">
        <v>8</v>
      </c>
      <c r="U17" s="40">
        <v>5</v>
      </c>
      <c r="V17" s="40">
        <v>8</v>
      </c>
      <c r="W17" s="40">
        <v>89</v>
      </c>
      <c r="X17" s="121">
        <v>112.05</v>
      </c>
      <c r="Y17" s="144">
        <v>31.18</v>
      </c>
      <c r="Z17" s="121">
        <v>5.5</v>
      </c>
      <c r="AA17" s="289">
        <f>SUM(E17+H17+J17+N17+P17+R17+T17+V17)</f>
        <v>66</v>
      </c>
    </row>
    <row r="18" spans="1:27" x14ac:dyDescent="0.25">
      <c r="X18" s="237"/>
      <c r="Y18" s="237"/>
      <c r="Z18" s="142"/>
      <c r="AA18" s="142"/>
    </row>
    <row r="19" spans="1:27" s="87" customFormat="1" x14ac:dyDescent="0.25">
      <c r="A19" s="111" t="s">
        <v>291</v>
      </c>
      <c r="X19" s="237"/>
      <c r="Y19" s="237"/>
      <c r="Z19" s="142"/>
      <c r="AA19" s="142"/>
    </row>
    <row r="20" spans="1:27" s="87" customFormat="1" x14ac:dyDescent="0.25">
      <c r="A20" s="115">
        <v>1</v>
      </c>
      <c r="B20" s="116" t="s">
        <v>128</v>
      </c>
      <c r="C20" s="120">
        <v>39.700000000000003</v>
      </c>
      <c r="D20" s="116">
        <v>100</v>
      </c>
      <c r="E20" s="116">
        <v>10</v>
      </c>
      <c r="F20" s="116">
        <v>38.869999999999997</v>
      </c>
      <c r="G20" s="116">
        <v>100</v>
      </c>
      <c r="H20" s="116">
        <v>5</v>
      </c>
      <c r="I20" s="140">
        <v>18.87</v>
      </c>
      <c r="J20" s="116">
        <v>7</v>
      </c>
      <c r="K20" s="120">
        <f>C20*I20/100</f>
        <v>7.4913900000000009</v>
      </c>
      <c r="L20" s="116">
        <v>100</v>
      </c>
      <c r="M20" s="116">
        <v>0</v>
      </c>
      <c r="N20" s="116">
        <v>9</v>
      </c>
      <c r="O20" s="116">
        <v>0</v>
      </c>
      <c r="P20" s="116">
        <v>9</v>
      </c>
      <c r="Q20" s="116">
        <v>0</v>
      </c>
      <c r="R20" s="116">
        <v>9</v>
      </c>
      <c r="S20" s="116">
        <v>19</v>
      </c>
      <c r="T20" s="116">
        <v>7</v>
      </c>
      <c r="U20" s="116">
        <v>0</v>
      </c>
      <c r="V20" s="116">
        <v>9</v>
      </c>
      <c r="W20" s="116">
        <v>81</v>
      </c>
      <c r="X20" s="118">
        <v>90.32</v>
      </c>
      <c r="Y20" s="143">
        <v>26.17</v>
      </c>
      <c r="Z20" s="118">
        <v>7.4</v>
      </c>
      <c r="AA20" s="287">
        <f>SUM(E20+H20+J20+N20+P20+R20+T20+V20)</f>
        <v>65</v>
      </c>
    </row>
    <row r="21" spans="1:27" s="87" customFormat="1" x14ac:dyDescent="0.25">
      <c r="A21" s="115">
        <v>2</v>
      </c>
      <c r="B21" s="116" t="s">
        <v>284</v>
      </c>
      <c r="C21" s="120">
        <v>58.09</v>
      </c>
      <c r="D21" s="116">
        <v>100</v>
      </c>
      <c r="E21" s="116">
        <v>10</v>
      </c>
      <c r="F21" s="116">
        <v>57.18</v>
      </c>
      <c r="G21" s="116">
        <v>100</v>
      </c>
      <c r="H21" s="116">
        <v>5</v>
      </c>
      <c r="I21" s="140">
        <v>15.25</v>
      </c>
      <c r="J21" s="116">
        <v>5</v>
      </c>
      <c r="K21" s="120">
        <f>C21*I21/100</f>
        <v>8.8587249999999997</v>
      </c>
      <c r="L21" s="116">
        <v>100</v>
      </c>
      <c r="M21" s="116">
        <v>0</v>
      </c>
      <c r="N21" s="116">
        <v>9</v>
      </c>
      <c r="O21" s="116">
        <v>0</v>
      </c>
      <c r="P21" s="116">
        <v>9</v>
      </c>
      <c r="Q21" s="116">
        <v>3</v>
      </c>
      <c r="R21" s="116">
        <v>8</v>
      </c>
      <c r="S21" s="116">
        <v>6</v>
      </c>
      <c r="T21" s="116">
        <v>8</v>
      </c>
      <c r="U21" s="116">
        <v>0</v>
      </c>
      <c r="V21" s="116">
        <v>9</v>
      </c>
      <c r="W21" s="116">
        <v>85</v>
      </c>
      <c r="X21" s="118">
        <v>182</v>
      </c>
      <c r="Y21" s="143">
        <v>22.43</v>
      </c>
      <c r="Z21" s="118">
        <v>7.9</v>
      </c>
      <c r="AA21" s="287">
        <f>SUM(E21+H21+J21+N21+P21+R21+T21+V21)</f>
        <v>63</v>
      </c>
    </row>
    <row r="22" spans="1:27" s="87" customFormat="1" x14ac:dyDescent="0.25">
      <c r="A22" s="282"/>
      <c r="B22" s="283" t="s">
        <v>300</v>
      </c>
      <c r="C22" s="284">
        <f>SUM(C20:C21)/2</f>
        <v>48.895000000000003</v>
      </c>
      <c r="D22" s="283">
        <v>100</v>
      </c>
      <c r="E22" s="283">
        <v>10</v>
      </c>
      <c r="F22" s="284">
        <f>SUM(F20:F21)/2</f>
        <v>48.024999999999999</v>
      </c>
      <c r="G22" s="283">
        <v>100</v>
      </c>
      <c r="H22" s="283">
        <v>5</v>
      </c>
      <c r="I22" s="284">
        <f>SUM(I20:I21)/2</f>
        <v>17.060000000000002</v>
      </c>
      <c r="J22" s="283">
        <v>6</v>
      </c>
      <c r="K22" s="284">
        <f>SUM(K20:K21)/2</f>
        <v>8.1750575000000012</v>
      </c>
      <c r="L22" s="283">
        <v>100</v>
      </c>
      <c r="M22" s="285">
        <f>SUM(M20:M21)/2</f>
        <v>0</v>
      </c>
      <c r="N22" s="285">
        <v>9</v>
      </c>
      <c r="O22" s="285">
        <f>SUM(O20:O21)/2</f>
        <v>0</v>
      </c>
      <c r="P22" s="285">
        <v>9</v>
      </c>
      <c r="Q22" s="285">
        <f>SUM(Q20:Q21)/2</f>
        <v>1.5</v>
      </c>
      <c r="R22" s="285">
        <v>8</v>
      </c>
      <c r="S22" s="285">
        <f>SUM(S20:S21)/2</f>
        <v>12.5</v>
      </c>
      <c r="T22" s="285">
        <v>7</v>
      </c>
      <c r="U22" s="285">
        <f>SUM(U20:U21)/2</f>
        <v>0</v>
      </c>
      <c r="V22" s="283">
        <v>9</v>
      </c>
      <c r="W22" s="285">
        <f t="shared" ref="W22:Z22" si="1">SUM(W20:W21)/2</f>
        <v>83</v>
      </c>
      <c r="X22" s="286">
        <f t="shared" si="1"/>
        <v>136.16</v>
      </c>
      <c r="Y22" s="284">
        <f t="shared" si="1"/>
        <v>24.3</v>
      </c>
      <c r="Z22" s="286">
        <f t="shared" si="1"/>
        <v>7.65</v>
      </c>
      <c r="AA22" s="288">
        <f>SUM(E22+H22+J22+N22+P22+R22+T22+V22)</f>
        <v>63</v>
      </c>
    </row>
    <row r="23" spans="1:27" s="87" customFormat="1" x14ac:dyDescent="0.25">
      <c r="A23" s="113">
        <v>3</v>
      </c>
      <c r="B23" s="40" t="s">
        <v>630</v>
      </c>
      <c r="C23" s="40">
        <v>41.71</v>
      </c>
      <c r="D23" s="119">
        <f>C23*D20/((C20+C21)/2)</f>
        <v>85.305245935167193</v>
      </c>
      <c r="E23" s="40">
        <v>6</v>
      </c>
      <c r="F23" s="40">
        <v>40.35</v>
      </c>
      <c r="G23" s="119">
        <f>F23*G20/((F20+F21)/2)</f>
        <v>84.018740239458623</v>
      </c>
      <c r="H23" s="40">
        <v>3</v>
      </c>
      <c r="I23" s="141">
        <v>21.9</v>
      </c>
      <c r="J23" s="40">
        <v>9</v>
      </c>
      <c r="K23" s="122">
        <f>C23*I23/100</f>
        <v>9.1344899999999996</v>
      </c>
      <c r="L23" s="119">
        <f>K23*L20/((K20+K21)/2)</f>
        <v>111.73609482257461</v>
      </c>
      <c r="M23" s="40">
        <v>5</v>
      </c>
      <c r="N23" s="40">
        <v>8</v>
      </c>
      <c r="O23" s="40">
        <v>0</v>
      </c>
      <c r="P23" s="40">
        <v>9</v>
      </c>
      <c r="Q23" s="40">
        <v>1</v>
      </c>
      <c r="R23" s="40">
        <v>8</v>
      </c>
      <c r="S23" s="40">
        <v>10</v>
      </c>
      <c r="T23" s="40">
        <v>8</v>
      </c>
      <c r="U23" s="40">
        <v>0</v>
      </c>
      <c r="V23" s="40">
        <v>9</v>
      </c>
      <c r="W23" s="40">
        <v>90</v>
      </c>
      <c r="X23" s="121">
        <v>122.77</v>
      </c>
      <c r="Y23" s="144">
        <v>29.3</v>
      </c>
      <c r="Z23" s="121">
        <v>7.3</v>
      </c>
      <c r="AA23" s="289">
        <f>SUM(E23+H23+J23+N23+P23+R23+T23+V23)</f>
        <v>60</v>
      </c>
    </row>
    <row r="24" spans="1:27" x14ac:dyDescent="0.25">
      <c r="X24" s="237"/>
      <c r="Y24" s="237"/>
      <c r="Z24" s="142"/>
    </row>
    <row r="25" spans="1:27" s="87" customFormat="1" x14ac:dyDescent="0.25">
      <c r="A25" s="111" t="s">
        <v>293</v>
      </c>
      <c r="X25" s="237"/>
      <c r="Y25" s="237"/>
      <c r="Z25" s="142"/>
      <c r="AA25" s="142"/>
    </row>
    <row r="26" spans="1:27" s="87" customFormat="1" x14ac:dyDescent="0.25">
      <c r="A26" s="115">
        <v>1</v>
      </c>
      <c r="B26" s="116" t="s">
        <v>128</v>
      </c>
      <c r="C26" s="116">
        <f>(C14+C20)/2</f>
        <v>30.92</v>
      </c>
      <c r="D26" s="116">
        <v>100</v>
      </c>
      <c r="E26" s="116">
        <v>10</v>
      </c>
      <c r="F26" s="120">
        <f>(F14+F20)/2</f>
        <v>29.64</v>
      </c>
      <c r="G26" s="116">
        <v>100</v>
      </c>
      <c r="H26" s="116">
        <v>5</v>
      </c>
      <c r="I26" s="143">
        <f>SUM(I14+I20)/2</f>
        <v>19.535</v>
      </c>
      <c r="J26" s="116">
        <v>8</v>
      </c>
      <c r="K26" s="120">
        <f>SUM(K14+K20)/2</f>
        <v>5.9818350000000002</v>
      </c>
      <c r="L26" s="116">
        <v>100</v>
      </c>
      <c r="M26" s="117">
        <f>SUM(M14+M20)/2</f>
        <v>5</v>
      </c>
      <c r="N26" s="116">
        <v>8</v>
      </c>
      <c r="O26" s="117">
        <f>SUM(O14+O20)/2</f>
        <v>0</v>
      </c>
      <c r="P26" s="116">
        <v>9</v>
      </c>
      <c r="Q26" s="117">
        <f>SUM(Q14+Q20)/2</f>
        <v>0</v>
      </c>
      <c r="R26" s="116">
        <v>9</v>
      </c>
      <c r="S26" s="117">
        <f>SUM(S14+S20)/2</f>
        <v>14.5</v>
      </c>
      <c r="T26" s="116">
        <v>7</v>
      </c>
      <c r="U26" s="117">
        <f>SUM(U14+U20)/2</f>
        <v>37.5</v>
      </c>
      <c r="V26" s="116">
        <v>5</v>
      </c>
      <c r="W26" s="117">
        <f t="shared" ref="W26:Z27" si="2">SUM(W14+W20)/2</f>
        <v>82.5</v>
      </c>
      <c r="X26" s="118">
        <f t="shared" si="2"/>
        <v>94.31</v>
      </c>
      <c r="Y26" s="120">
        <f t="shared" si="2"/>
        <v>26.86</v>
      </c>
      <c r="Z26" s="118">
        <f t="shared" si="2"/>
        <v>7.2</v>
      </c>
      <c r="AA26" s="287">
        <f>SUM(E26+H26+J26+N26+P26+R26+T26+V26)</f>
        <v>61</v>
      </c>
    </row>
    <row r="27" spans="1:27" s="87" customFormat="1" x14ac:dyDescent="0.25">
      <c r="A27" s="115">
        <v>2</v>
      </c>
      <c r="B27" s="116" t="s">
        <v>284</v>
      </c>
      <c r="C27" s="120">
        <f>(C15+C21)/2</f>
        <v>44.355000000000004</v>
      </c>
      <c r="D27" s="116">
        <v>100</v>
      </c>
      <c r="E27" s="116">
        <v>10</v>
      </c>
      <c r="F27" s="120">
        <f>(F15+F21)/2</f>
        <v>42.615000000000002</v>
      </c>
      <c r="G27" s="116">
        <v>100</v>
      </c>
      <c r="H27" s="116">
        <v>5</v>
      </c>
      <c r="I27" s="143">
        <f>SUM(I15+I21)/2</f>
        <v>15.875</v>
      </c>
      <c r="J27" s="116">
        <v>5</v>
      </c>
      <c r="K27" s="120">
        <f>SUM(K15+K21)/2</f>
        <v>6.9555124999999993</v>
      </c>
      <c r="L27" s="116">
        <v>100</v>
      </c>
      <c r="M27" s="117">
        <f>SUM(M15+M21)/2</f>
        <v>2.5</v>
      </c>
      <c r="N27" s="116">
        <v>8</v>
      </c>
      <c r="O27" s="117">
        <f>SUM(O15+O21)/2</f>
        <v>0</v>
      </c>
      <c r="P27" s="116">
        <v>9</v>
      </c>
      <c r="Q27" s="117">
        <f>SUM(Q15+Q21)/2</f>
        <v>1.5</v>
      </c>
      <c r="R27" s="116">
        <v>9</v>
      </c>
      <c r="S27" s="117">
        <f>SUM(S15+S21)/2</f>
        <v>5.5</v>
      </c>
      <c r="T27" s="116">
        <v>8</v>
      </c>
      <c r="U27" s="117">
        <f>SUM(U15+U21)/2</f>
        <v>15</v>
      </c>
      <c r="V27" s="116">
        <v>7</v>
      </c>
      <c r="W27" s="117">
        <f t="shared" si="2"/>
        <v>84.5</v>
      </c>
      <c r="X27" s="118">
        <f t="shared" si="2"/>
        <v>157.25</v>
      </c>
      <c r="Y27" s="120">
        <f t="shared" si="2"/>
        <v>22.740000000000002</v>
      </c>
      <c r="Z27" s="118">
        <f t="shared" si="2"/>
        <v>6.85</v>
      </c>
      <c r="AA27" s="287">
        <f>SUM(E27+H27+J27+N27+P27+R27+T27+V27)</f>
        <v>61</v>
      </c>
    </row>
    <row r="28" spans="1:27" s="87" customFormat="1" x14ac:dyDescent="0.25">
      <c r="A28" s="282"/>
      <c r="B28" s="283" t="s">
        <v>300</v>
      </c>
      <c r="C28" s="284">
        <f>SUM(C26:C27)/2</f>
        <v>37.637500000000003</v>
      </c>
      <c r="D28" s="283">
        <v>100</v>
      </c>
      <c r="E28" s="283">
        <v>10</v>
      </c>
      <c r="F28" s="284">
        <f>SUM(F26:F27)/2</f>
        <v>36.127499999999998</v>
      </c>
      <c r="G28" s="283">
        <v>100</v>
      </c>
      <c r="H28" s="283">
        <v>5</v>
      </c>
      <c r="I28" s="284">
        <f>SUM(I26:I27)/2</f>
        <v>17.704999999999998</v>
      </c>
      <c r="J28" s="283">
        <v>6</v>
      </c>
      <c r="K28" s="284">
        <f>SUM(K26:K27)/2</f>
        <v>6.4686737499999998</v>
      </c>
      <c r="L28" s="283">
        <v>100</v>
      </c>
      <c r="M28" s="285">
        <f>SUM(M26:M27)/2</f>
        <v>3.75</v>
      </c>
      <c r="N28" s="285">
        <v>8</v>
      </c>
      <c r="O28" s="285">
        <f>SUM(O26:O27)/2</f>
        <v>0</v>
      </c>
      <c r="P28" s="285">
        <v>9</v>
      </c>
      <c r="Q28" s="285">
        <f>SUM(Q26:Q27)/2</f>
        <v>0.75</v>
      </c>
      <c r="R28" s="285">
        <v>9</v>
      </c>
      <c r="S28" s="285">
        <f>SUM(S26:S27)/2</f>
        <v>10</v>
      </c>
      <c r="T28" s="285">
        <v>8</v>
      </c>
      <c r="U28" s="285">
        <f>SUM(U26:U27)/2</f>
        <v>26.25</v>
      </c>
      <c r="V28" s="283">
        <v>6</v>
      </c>
      <c r="W28" s="285">
        <f t="shared" ref="W28:Z28" si="3">SUM(W26:W27)/2</f>
        <v>83.5</v>
      </c>
      <c r="X28" s="286">
        <f t="shared" si="3"/>
        <v>125.78</v>
      </c>
      <c r="Y28" s="284">
        <f t="shared" si="3"/>
        <v>24.8</v>
      </c>
      <c r="Z28" s="286">
        <f t="shared" si="3"/>
        <v>7.0250000000000004</v>
      </c>
      <c r="AA28" s="288">
        <f>SUM(E28+H28+J28+N28+P28+R28+T28+V28)</f>
        <v>61</v>
      </c>
    </row>
    <row r="29" spans="1:27" s="87" customFormat="1" x14ac:dyDescent="0.25">
      <c r="A29" s="113">
        <v>3</v>
      </c>
      <c r="B29" s="40" t="s">
        <v>630</v>
      </c>
      <c r="C29" s="138">
        <f>(C17+C23)/2</f>
        <v>34.49</v>
      </c>
      <c r="D29" s="119">
        <f>(C29*D28)/C28</f>
        <v>91.637329790767183</v>
      </c>
      <c r="E29" s="40">
        <v>8</v>
      </c>
      <c r="F29" s="138">
        <f>(F17+F23)/2</f>
        <v>32.85</v>
      </c>
      <c r="G29" s="119">
        <f>F29*G26/((F26+F27)/2)</f>
        <v>90.927963462736145</v>
      </c>
      <c r="H29" s="40">
        <v>4</v>
      </c>
      <c r="I29" s="144">
        <f>SUM(I17+I23)/2</f>
        <v>22.75</v>
      </c>
      <c r="J29" s="40">
        <v>9</v>
      </c>
      <c r="K29" s="139">
        <f>SUM(K17+K23)/2</f>
        <v>7.7851049999999997</v>
      </c>
      <c r="L29" s="119">
        <f>K29*L26/((K26+K27)/2)</f>
        <v>120.35086790395017</v>
      </c>
      <c r="M29" s="145">
        <f>SUM(M17+M23)/2</f>
        <v>7.5</v>
      </c>
      <c r="N29" s="40">
        <v>8</v>
      </c>
      <c r="O29" s="145">
        <f>SUM(O17+O23)/2</f>
        <v>0</v>
      </c>
      <c r="P29" s="40">
        <v>9</v>
      </c>
      <c r="Q29" s="145">
        <f>SUM(Q17+Q23)/2</f>
        <v>0.5</v>
      </c>
      <c r="R29" s="40">
        <v>8</v>
      </c>
      <c r="S29" s="145">
        <f>SUM(S17+S23)/2</f>
        <v>7.5</v>
      </c>
      <c r="T29" s="40">
        <v>8</v>
      </c>
      <c r="U29" s="145">
        <f>SUM(U17+U23)/2</f>
        <v>2.5</v>
      </c>
      <c r="V29" s="40">
        <v>8</v>
      </c>
      <c r="W29" s="145">
        <f>SUM(W17+W23)/2</f>
        <v>89.5</v>
      </c>
      <c r="X29" s="238">
        <f>SUM(X17+X23)/2</f>
        <v>117.41</v>
      </c>
      <c r="Y29" s="139">
        <f>SUM(Y17+Y23)/2</f>
        <v>30.240000000000002</v>
      </c>
      <c r="Z29" s="238">
        <f>SUM(Z17+Z23)/2</f>
        <v>6.4</v>
      </c>
      <c r="AA29" s="289">
        <f>SUM(E29+H29+J29+N29+P29+R29+T29+V29)</f>
        <v>62</v>
      </c>
    </row>
    <row r="32" spans="1:27" x14ac:dyDescent="0.25">
      <c r="B32" s="427" t="s">
        <v>104</v>
      </c>
      <c r="C32" s="427"/>
      <c r="D32" s="427"/>
      <c r="E32" s="427"/>
      <c r="F32" s="427"/>
      <c r="G32" s="428"/>
      <c r="H32" s="428"/>
    </row>
    <row r="33" spans="2:8" x14ac:dyDescent="0.25">
      <c r="B33" s="124" t="s">
        <v>454</v>
      </c>
      <c r="C33" s="353" t="s">
        <v>105</v>
      </c>
      <c r="D33" s="353"/>
      <c r="E33" s="353" t="s">
        <v>118</v>
      </c>
      <c r="F33" s="353"/>
      <c r="G33" s="380"/>
      <c r="H33" s="381"/>
    </row>
    <row r="34" spans="2:8" x14ac:dyDescent="0.25">
      <c r="B34" s="134" t="s">
        <v>106</v>
      </c>
      <c r="C34" s="425"/>
      <c r="D34" s="429"/>
      <c r="E34" s="429"/>
      <c r="F34" s="429"/>
      <c r="G34" s="429"/>
      <c r="H34" s="429"/>
    </row>
    <row r="35" spans="2:8" x14ac:dyDescent="0.25">
      <c r="B35" s="124" t="s">
        <v>107</v>
      </c>
      <c r="C35" s="353">
        <v>3</v>
      </c>
      <c r="D35" s="353"/>
      <c r="E35" s="358">
        <v>2.9</v>
      </c>
      <c r="F35" s="358"/>
      <c r="G35" s="381"/>
      <c r="H35" s="381"/>
    </row>
    <row r="36" spans="2:8" x14ac:dyDescent="0.25">
      <c r="B36" s="124" t="s">
        <v>125</v>
      </c>
      <c r="C36" s="353" t="s">
        <v>638</v>
      </c>
      <c r="D36" s="353"/>
      <c r="E36" s="358"/>
      <c r="F36" s="358"/>
      <c r="G36" s="129"/>
      <c r="H36" s="129"/>
    </row>
    <row r="37" spans="2:8" x14ac:dyDescent="0.25">
      <c r="B37" s="124" t="s">
        <v>108</v>
      </c>
      <c r="C37" s="353">
        <v>6.3</v>
      </c>
      <c r="D37" s="353"/>
      <c r="E37" s="358">
        <v>5.6</v>
      </c>
      <c r="F37" s="358"/>
      <c r="G37" s="381"/>
      <c r="H37" s="381"/>
    </row>
    <row r="38" spans="2:8" x14ac:dyDescent="0.25">
      <c r="B38" s="124" t="s">
        <v>109</v>
      </c>
      <c r="C38" s="353">
        <v>111</v>
      </c>
      <c r="D38" s="353"/>
      <c r="E38" s="358">
        <v>180</v>
      </c>
      <c r="F38" s="358"/>
      <c r="G38" s="381"/>
      <c r="H38" s="381"/>
    </row>
    <row r="39" spans="2:8" x14ac:dyDescent="0.25">
      <c r="B39" s="124" t="s">
        <v>110</v>
      </c>
      <c r="C39" s="353">
        <v>80</v>
      </c>
      <c r="D39" s="353"/>
      <c r="E39" s="358">
        <v>132</v>
      </c>
      <c r="F39" s="358"/>
      <c r="G39" s="381"/>
      <c r="H39" s="381"/>
    </row>
    <row r="40" spans="2:8" x14ac:dyDescent="0.25">
      <c r="B40" s="124" t="s">
        <v>119</v>
      </c>
      <c r="C40" s="353" t="s">
        <v>621</v>
      </c>
      <c r="D40" s="353"/>
      <c r="E40" s="358"/>
      <c r="F40" s="358"/>
      <c r="G40" s="129"/>
      <c r="H40" s="129"/>
    </row>
    <row r="41" spans="2:8" x14ac:dyDescent="0.25">
      <c r="B41" s="130" t="s">
        <v>120</v>
      </c>
      <c r="C41" s="363" t="s">
        <v>121</v>
      </c>
      <c r="D41" s="357"/>
      <c r="E41" s="357"/>
      <c r="F41" s="364"/>
      <c r="G41" s="136"/>
      <c r="H41" s="136"/>
    </row>
    <row r="42" spans="2:8" x14ac:dyDescent="0.25">
      <c r="B42" s="124" t="s">
        <v>111</v>
      </c>
      <c r="C42" s="378" t="s">
        <v>631</v>
      </c>
      <c r="D42" s="378"/>
      <c r="E42" s="379" t="s">
        <v>644</v>
      </c>
      <c r="F42" s="379"/>
      <c r="G42" s="426"/>
      <c r="H42" s="380"/>
    </row>
    <row r="43" spans="2:8" x14ac:dyDescent="0.25">
      <c r="B43" s="123" t="s">
        <v>112</v>
      </c>
      <c r="C43" s="357" t="s">
        <v>632</v>
      </c>
      <c r="D43" s="364"/>
      <c r="E43" s="358" t="s">
        <v>645</v>
      </c>
      <c r="F43" s="358"/>
      <c r="G43" s="426"/>
      <c r="H43" s="380"/>
    </row>
    <row r="44" spans="2:8" x14ac:dyDescent="0.25">
      <c r="B44" s="124" t="s">
        <v>113</v>
      </c>
      <c r="C44" s="423"/>
      <c r="D44" s="423"/>
      <c r="E44" s="423"/>
      <c r="F44" s="423"/>
      <c r="G44" s="424"/>
      <c r="H44" s="425"/>
    </row>
    <row r="45" spans="2:8" x14ac:dyDescent="0.25">
      <c r="B45" s="124" t="s">
        <v>114</v>
      </c>
      <c r="C45" s="125" t="s">
        <v>633</v>
      </c>
      <c r="D45" s="233" t="s">
        <v>634</v>
      </c>
      <c r="E45" s="211" t="s">
        <v>633</v>
      </c>
      <c r="F45" s="235" t="s">
        <v>126</v>
      </c>
      <c r="G45" s="131"/>
      <c r="H45" s="129"/>
    </row>
    <row r="46" spans="2:8" x14ac:dyDescent="0.25">
      <c r="B46" s="124" t="s">
        <v>635</v>
      </c>
      <c r="C46" s="363" t="s">
        <v>280</v>
      </c>
      <c r="D46" s="364"/>
      <c r="E46" s="361" t="s">
        <v>283</v>
      </c>
      <c r="F46" s="362"/>
      <c r="G46" s="131"/>
      <c r="H46" s="129"/>
    </row>
    <row r="47" spans="2:8" x14ac:dyDescent="0.25">
      <c r="B47" s="124" t="s">
        <v>637</v>
      </c>
      <c r="C47" s="124" t="s">
        <v>312</v>
      </c>
      <c r="D47" s="126" t="s">
        <v>636</v>
      </c>
      <c r="E47" s="211" t="s">
        <v>644</v>
      </c>
      <c r="F47" s="235" t="s">
        <v>646</v>
      </c>
      <c r="G47" s="131"/>
      <c r="H47" s="129"/>
    </row>
    <row r="48" spans="2:8" x14ac:dyDescent="0.25">
      <c r="B48" s="124"/>
      <c r="C48" s="128"/>
      <c r="D48" s="132"/>
      <c r="E48" s="205"/>
      <c r="F48" s="232"/>
      <c r="G48" s="131"/>
      <c r="H48" s="129"/>
    </row>
    <row r="49" spans="2:8" x14ac:dyDescent="0.25">
      <c r="B49" s="124" t="s">
        <v>115</v>
      </c>
      <c r="C49" s="125"/>
      <c r="D49" s="125"/>
      <c r="E49" s="202"/>
      <c r="F49" s="202"/>
      <c r="G49" s="137"/>
      <c r="H49" s="135"/>
    </row>
    <row r="50" spans="2:8" x14ac:dyDescent="0.25">
      <c r="B50" s="124" t="s">
        <v>116</v>
      </c>
      <c r="C50" s="130" t="s">
        <v>433</v>
      </c>
      <c r="D50" s="130" t="s">
        <v>281</v>
      </c>
      <c r="E50" s="236" t="s">
        <v>362</v>
      </c>
      <c r="F50" s="236" t="s">
        <v>647</v>
      </c>
      <c r="G50" s="131"/>
      <c r="H50" s="133"/>
    </row>
    <row r="51" spans="2:8" x14ac:dyDescent="0.25">
      <c r="B51" s="127"/>
      <c r="C51" s="165"/>
      <c r="D51" s="124" t="s">
        <v>282</v>
      </c>
      <c r="E51" s="211" t="s">
        <v>648</v>
      </c>
      <c r="F51" s="211" t="s">
        <v>649</v>
      </c>
      <c r="G51" s="131"/>
      <c r="H51" s="133"/>
    </row>
    <row r="52" spans="2:8" s="87" customFormat="1" x14ac:dyDescent="0.25">
      <c r="B52" s="127"/>
      <c r="C52" s="124"/>
      <c r="D52" s="124"/>
      <c r="E52" s="201"/>
      <c r="F52" s="201"/>
      <c r="G52" s="131"/>
      <c r="H52" s="133"/>
    </row>
    <row r="53" spans="2:8" x14ac:dyDescent="0.25">
      <c r="B53" s="124" t="s">
        <v>117</v>
      </c>
      <c r="C53" s="124"/>
      <c r="D53" s="165"/>
      <c r="E53" s="211" t="s">
        <v>648</v>
      </c>
      <c r="F53" s="211" t="s">
        <v>650</v>
      </c>
      <c r="G53" s="131"/>
      <c r="H53" s="133"/>
    </row>
    <row r="54" spans="2:8" x14ac:dyDescent="0.25">
      <c r="B54" s="124"/>
      <c r="C54" s="124"/>
      <c r="D54" s="124"/>
      <c r="E54" s="201"/>
      <c r="F54" s="201"/>
      <c r="G54" s="131"/>
      <c r="H54" s="133"/>
    </row>
    <row r="55" spans="2:8" x14ac:dyDescent="0.25">
      <c r="B55" s="124" t="s">
        <v>123</v>
      </c>
      <c r="C55" s="124" t="s">
        <v>639</v>
      </c>
      <c r="D55" s="124" t="s">
        <v>127</v>
      </c>
      <c r="E55" s="211" t="s">
        <v>507</v>
      </c>
      <c r="F55" s="211" t="s">
        <v>127</v>
      </c>
      <c r="G55" s="131"/>
      <c r="H55" s="133"/>
    </row>
    <row r="56" spans="2:8" x14ac:dyDescent="0.25">
      <c r="B56" s="127"/>
      <c r="C56" s="124" t="s">
        <v>640</v>
      </c>
      <c r="D56" s="124" t="s">
        <v>127</v>
      </c>
      <c r="E56" s="211"/>
      <c r="F56" s="211"/>
      <c r="G56" s="131"/>
      <c r="H56" s="133"/>
    </row>
    <row r="57" spans="2:8" x14ac:dyDescent="0.25">
      <c r="B57" s="127"/>
      <c r="C57" s="114" t="s">
        <v>469</v>
      </c>
      <c r="D57" s="114" t="s">
        <v>641</v>
      </c>
      <c r="E57" s="211"/>
      <c r="F57" s="211"/>
      <c r="G57" s="131"/>
      <c r="H57" s="133"/>
    </row>
    <row r="58" spans="2:8" s="87" customFormat="1" x14ac:dyDescent="0.25">
      <c r="B58" s="127"/>
      <c r="C58" s="124" t="s">
        <v>642</v>
      </c>
      <c r="D58" s="124" t="s">
        <v>641</v>
      </c>
      <c r="F58" s="211"/>
      <c r="G58" s="131"/>
      <c r="H58" s="133"/>
    </row>
    <row r="59" spans="2:8" x14ac:dyDescent="0.25">
      <c r="B59" s="124" t="s">
        <v>124</v>
      </c>
      <c r="C59" s="124" t="s">
        <v>564</v>
      </c>
      <c r="D59" s="124" t="s">
        <v>643</v>
      </c>
      <c r="E59" s="211" t="s">
        <v>416</v>
      </c>
      <c r="F59" s="211" t="s">
        <v>643</v>
      </c>
      <c r="G59" s="131"/>
      <c r="H59" s="133"/>
    </row>
    <row r="60" spans="2:8" x14ac:dyDescent="0.25">
      <c r="B60" s="124"/>
      <c r="C60" s="124"/>
      <c r="D60" s="124"/>
      <c r="E60" s="205"/>
      <c r="F60" s="205"/>
      <c r="G60" s="131"/>
      <c r="H60" s="133"/>
    </row>
    <row r="61" spans="2:8" x14ac:dyDescent="0.25">
      <c r="B61" s="128"/>
      <c r="C61" s="124"/>
      <c r="D61" s="124"/>
      <c r="E61" s="201"/>
      <c r="F61" s="201"/>
      <c r="G61" s="131"/>
      <c r="H61" s="133"/>
    </row>
    <row r="62" spans="2:8" x14ac:dyDescent="0.25">
      <c r="B62" s="124"/>
      <c r="C62" s="124"/>
      <c r="D62" s="124"/>
      <c r="E62" s="201"/>
      <c r="F62" s="201"/>
      <c r="G62" s="131"/>
      <c r="H62" s="133"/>
    </row>
    <row r="63" spans="2:8" x14ac:dyDescent="0.25">
      <c r="B63" s="124"/>
      <c r="C63" s="124"/>
      <c r="D63" s="124"/>
      <c r="E63" s="124"/>
      <c r="F63" s="124"/>
      <c r="G63" s="131"/>
      <c r="H63" s="133"/>
    </row>
  </sheetData>
  <mergeCells count="65">
    <mergeCell ref="A8:A11"/>
    <mergeCell ref="B8:B11"/>
    <mergeCell ref="C8:C11"/>
    <mergeCell ref="D8:E9"/>
    <mergeCell ref="F8:F11"/>
    <mergeCell ref="D10:D11"/>
    <mergeCell ref="E10:E11"/>
    <mergeCell ref="AA8:AA11"/>
    <mergeCell ref="M9:N9"/>
    <mergeCell ref="O9:P9"/>
    <mergeCell ref="Q9:R9"/>
    <mergeCell ref="S9:T9"/>
    <mergeCell ref="U9:V9"/>
    <mergeCell ref="M10:N10"/>
    <mergeCell ref="O10:P10"/>
    <mergeCell ref="Q10:R10"/>
    <mergeCell ref="M8:R8"/>
    <mergeCell ref="S8:V8"/>
    <mergeCell ref="W8:W11"/>
    <mergeCell ref="X8:X11"/>
    <mergeCell ref="Y8:Y11"/>
    <mergeCell ref="S10:T10"/>
    <mergeCell ref="U10:V10"/>
    <mergeCell ref="I8:J9"/>
    <mergeCell ref="I10:I11"/>
    <mergeCell ref="J10:J11"/>
    <mergeCell ref="G37:H37"/>
    <mergeCell ref="Z8:Z11"/>
    <mergeCell ref="G8:H9"/>
    <mergeCell ref="G10:G11"/>
    <mergeCell ref="H10:H11"/>
    <mergeCell ref="K8:K9"/>
    <mergeCell ref="L8:L9"/>
    <mergeCell ref="K10:K11"/>
    <mergeCell ref="L10:L11"/>
    <mergeCell ref="C36:D36"/>
    <mergeCell ref="E36:F36"/>
    <mergeCell ref="C37:D37"/>
    <mergeCell ref="E37:F37"/>
    <mergeCell ref="B32:H32"/>
    <mergeCell ref="C33:D33"/>
    <mergeCell ref="E33:F33"/>
    <mergeCell ref="G33:H33"/>
    <mergeCell ref="C34:H34"/>
    <mergeCell ref="C35:D35"/>
    <mergeCell ref="E35:F35"/>
    <mergeCell ref="G35:H35"/>
    <mergeCell ref="C39:D39"/>
    <mergeCell ref="E39:F39"/>
    <mergeCell ref="C38:D38"/>
    <mergeCell ref="E38:F38"/>
    <mergeCell ref="G39:H39"/>
    <mergeCell ref="G38:H38"/>
    <mergeCell ref="C40:D40"/>
    <mergeCell ref="E40:F40"/>
    <mergeCell ref="C44:H44"/>
    <mergeCell ref="C46:D46"/>
    <mergeCell ref="E46:F46"/>
    <mergeCell ref="C42:D42"/>
    <mergeCell ref="E42:F42"/>
    <mergeCell ref="G42:H42"/>
    <mergeCell ref="C43:D43"/>
    <mergeCell ref="E43:F43"/>
    <mergeCell ref="G43:H43"/>
    <mergeCell ref="C41:F4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55"/>
  <sheetViews>
    <sheetView workbookViewId="0">
      <selection activeCell="E17" sqref="E17"/>
    </sheetView>
  </sheetViews>
  <sheetFormatPr defaultColWidth="8.85546875" defaultRowHeight="15" x14ac:dyDescent="0.25"/>
  <cols>
    <col min="1" max="1" width="4.28515625" style="87" customWidth="1"/>
    <col min="2" max="2" width="25.85546875" style="87" customWidth="1"/>
    <col min="3" max="3" width="12.7109375" style="87" customWidth="1"/>
    <col min="4" max="4" width="17.140625" style="87" customWidth="1"/>
    <col min="5" max="5" width="11.7109375" style="87" customWidth="1"/>
    <col min="6" max="10" width="11.7109375" style="298" customWidth="1"/>
    <col min="11" max="16384" width="8.85546875" style="87"/>
  </cols>
  <sheetData>
    <row r="2" spans="1:13" x14ac:dyDescent="0.25">
      <c r="B2" s="112" t="s">
        <v>651</v>
      </c>
    </row>
    <row r="3" spans="1:13" x14ac:dyDescent="0.25">
      <c r="B3" s="106" t="s">
        <v>652</v>
      </c>
    </row>
    <row r="5" spans="1:13" x14ac:dyDescent="0.25">
      <c r="A5" s="55" t="s">
        <v>653</v>
      </c>
    </row>
    <row r="6" spans="1:13" x14ac:dyDescent="0.25">
      <c r="A6" s="55"/>
    </row>
    <row r="8" spans="1:13" ht="14.45" customHeight="1" x14ac:dyDescent="0.25">
      <c r="A8" s="387" t="s">
        <v>1</v>
      </c>
      <c r="B8" s="387" t="s">
        <v>34</v>
      </c>
      <c r="C8" s="439" t="s">
        <v>70</v>
      </c>
      <c r="D8" s="440"/>
      <c r="E8" s="441"/>
      <c r="F8" s="439" t="s">
        <v>71</v>
      </c>
      <c r="G8" s="441"/>
      <c r="H8" s="445" t="s">
        <v>47</v>
      </c>
      <c r="I8" s="446"/>
      <c r="J8" s="447"/>
      <c r="K8" s="434" t="s">
        <v>133</v>
      </c>
      <c r="L8" s="430" t="s">
        <v>132</v>
      </c>
      <c r="M8" s="388" t="s">
        <v>90</v>
      </c>
    </row>
    <row r="9" spans="1:13" ht="72" customHeight="1" x14ac:dyDescent="0.25">
      <c r="A9" s="387"/>
      <c r="B9" s="387"/>
      <c r="C9" s="442"/>
      <c r="D9" s="443"/>
      <c r="E9" s="444"/>
      <c r="F9" s="442"/>
      <c r="G9" s="444"/>
      <c r="H9" s="448"/>
      <c r="I9" s="449"/>
      <c r="J9" s="450"/>
      <c r="K9" s="435"/>
      <c r="L9" s="431"/>
      <c r="M9" s="388"/>
    </row>
    <row r="10" spans="1:13" ht="15" customHeight="1" x14ac:dyDescent="0.25">
      <c r="A10" s="387"/>
      <c r="B10" s="387"/>
      <c r="C10" s="434" t="s">
        <v>72</v>
      </c>
      <c r="D10" s="434" t="s">
        <v>15</v>
      </c>
      <c r="E10" s="434" t="s">
        <v>16</v>
      </c>
      <c r="F10" s="373" t="s">
        <v>21</v>
      </c>
      <c r="G10" s="434" t="s">
        <v>16</v>
      </c>
      <c r="H10" s="434" t="s">
        <v>654</v>
      </c>
      <c r="I10" s="434" t="s">
        <v>15</v>
      </c>
      <c r="J10" s="434" t="s">
        <v>16</v>
      </c>
      <c r="K10" s="434" t="s">
        <v>36</v>
      </c>
      <c r="L10" s="434" t="s">
        <v>18</v>
      </c>
      <c r="M10" s="388"/>
    </row>
    <row r="11" spans="1:13" ht="40.9" customHeight="1" x14ac:dyDescent="0.25">
      <c r="A11" s="387"/>
      <c r="B11" s="387"/>
      <c r="C11" s="435"/>
      <c r="D11" s="435"/>
      <c r="E11" s="435"/>
      <c r="F11" s="374"/>
      <c r="G11" s="435"/>
      <c r="H11" s="435"/>
      <c r="I11" s="435"/>
      <c r="J11" s="435"/>
      <c r="K11" s="435"/>
      <c r="L11" s="435"/>
      <c r="M11" s="388"/>
    </row>
    <row r="13" spans="1:13" x14ac:dyDescent="0.25">
      <c r="A13" s="55" t="s">
        <v>82</v>
      </c>
    </row>
    <row r="14" spans="1:13" x14ac:dyDescent="0.25">
      <c r="A14" s="282">
        <v>1</v>
      </c>
      <c r="B14" s="343" t="s">
        <v>655</v>
      </c>
      <c r="C14" s="283">
        <v>0.54</v>
      </c>
      <c r="D14" s="283">
        <v>100</v>
      </c>
      <c r="E14" s="283">
        <v>10</v>
      </c>
      <c r="F14" s="283">
        <v>32.97</v>
      </c>
      <c r="G14" s="283">
        <v>1</v>
      </c>
      <c r="H14" s="273">
        <f>(((C14*88)/100)*F14)/100</f>
        <v>0.15667344</v>
      </c>
      <c r="I14" s="283">
        <v>100</v>
      </c>
      <c r="J14" s="283">
        <v>5</v>
      </c>
      <c r="K14" s="283">
        <v>113</v>
      </c>
      <c r="L14" s="283">
        <v>100</v>
      </c>
      <c r="M14" s="288">
        <f>E14++G14+J14</f>
        <v>16</v>
      </c>
    </row>
    <row r="15" spans="1:13" s="298" customFormat="1" x14ac:dyDescent="0.25">
      <c r="A15" s="147">
        <v>2</v>
      </c>
      <c r="B15" s="341" t="s">
        <v>656</v>
      </c>
      <c r="C15" s="138">
        <v>0.49</v>
      </c>
      <c r="D15" s="145">
        <f>(C15*100)/C$14</f>
        <v>90.740740740740733</v>
      </c>
      <c r="E15" s="138">
        <v>8</v>
      </c>
      <c r="F15" s="138">
        <v>34.22</v>
      </c>
      <c r="G15" s="138">
        <v>1</v>
      </c>
      <c r="H15" s="188">
        <f t="shared" ref="H15:H20" si="0">(((C15*88)/100)*F15)/100</f>
        <v>0.14755663999999999</v>
      </c>
      <c r="I15" s="145">
        <f>(H15*100)/H$14</f>
        <v>94.181017535582285</v>
      </c>
      <c r="J15" s="138">
        <v>4</v>
      </c>
      <c r="K15" s="138">
        <v>112</v>
      </c>
      <c r="L15" s="138">
        <v>107</v>
      </c>
      <c r="M15" s="342">
        <f t="shared" ref="M15:M20" si="1">E15++G15+J15</f>
        <v>13</v>
      </c>
    </row>
    <row r="16" spans="1:13" s="298" customFormat="1" x14ac:dyDescent="0.25">
      <c r="A16" s="147">
        <v>3</v>
      </c>
      <c r="B16" s="341" t="s">
        <v>657</v>
      </c>
      <c r="C16" s="138">
        <v>0.82</v>
      </c>
      <c r="D16" s="145">
        <f t="shared" ref="D16:D20" si="2">(C16*100)/C$14</f>
        <v>151.85185185185185</v>
      </c>
      <c r="E16" s="138">
        <v>18</v>
      </c>
      <c r="F16" s="138">
        <v>31.27</v>
      </c>
      <c r="G16" s="138">
        <v>1</v>
      </c>
      <c r="H16" s="188">
        <f t="shared" si="0"/>
        <v>0.22564432000000001</v>
      </c>
      <c r="I16" s="145">
        <f t="shared" ref="I16:I20" si="3">(H16*100)/H$14</f>
        <v>144.02206270571452</v>
      </c>
      <c r="J16" s="138">
        <v>9</v>
      </c>
      <c r="K16" s="138">
        <v>113</v>
      </c>
      <c r="L16" s="138">
        <v>91</v>
      </c>
      <c r="M16" s="342">
        <f t="shared" si="1"/>
        <v>28</v>
      </c>
    </row>
    <row r="17" spans="1:13" s="298" customFormat="1" x14ac:dyDescent="0.25">
      <c r="A17" s="147">
        <v>4</v>
      </c>
      <c r="B17" s="341" t="s">
        <v>658</v>
      </c>
      <c r="C17" s="138">
        <v>0.33</v>
      </c>
      <c r="D17" s="145">
        <f>(C17*100)/C$14</f>
        <v>61.111111111111107</v>
      </c>
      <c r="E17" s="138">
        <v>2</v>
      </c>
      <c r="F17" s="138">
        <v>33.67</v>
      </c>
      <c r="G17" s="138">
        <v>1</v>
      </c>
      <c r="H17" s="188">
        <f t="shared" si="0"/>
        <v>9.777768000000002E-2</v>
      </c>
      <c r="I17" s="145">
        <f t="shared" si="3"/>
        <v>62.408586930879935</v>
      </c>
      <c r="J17" s="138">
        <v>1</v>
      </c>
      <c r="K17" s="138">
        <v>113</v>
      </c>
      <c r="L17" s="138">
        <v>94</v>
      </c>
      <c r="M17" s="342">
        <f>E17++G17+J17</f>
        <v>4</v>
      </c>
    </row>
    <row r="18" spans="1:13" s="298" customFormat="1" x14ac:dyDescent="0.25">
      <c r="A18" s="147">
        <v>5</v>
      </c>
      <c r="B18" s="341" t="s">
        <v>659</v>
      </c>
      <c r="C18" s="138">
        <v>0.57999999999999996</v>
      </c>
      <c r="D18" s="145">
        <f t="shared" si="2"/>
        <v>107.40740740740739</v>
      </c>
      <c r="E18" s="138">
        <v>12</v>
      </c>
      <c r="F18" s="138">
        <v>32.21</v>
      </c>
      <c r="G18" s="138">
        <v>1</v>
      </c>
      <c r="H18" s="188">
        <f t="shared" si="0"/>
        <v>0.16439983999999999</v>
      </c>
      <c r="I18" s="145">
        <f t="shared" si="3"/>
        <v>104.9315314708096</v>
      </c>
      <c r="J18" s="138">
        <v>5</v>
      </c>
      <c r="K18" s="138">
        <v>113</v>
      </c>
      <c r="L18" s="138">
        <v>97</v>
      </c>
      <c r="M18" s="342">
        <f t="shared" si="1"/>
        <v>18</v>
      </c>
    </row>
    <row r="19" spans="1:13" s="298" customFormat="1" x14ac:dyDescent="0.25">
      <c r="A19" s="147">
        <v>6</v>
      </c>
      <c r="B19" s="341" t="s">
        <v>660</v>
      </c>
      <c r="C19" s="138">
        <v>0.59</v>
      </c>
      <c r="D19" s="145">
        <f t="shared" si="2"/>
        <v>109.25925925925925</v>
      </c>
      <c r="E19" s="138">
        <v>12</v>
      </c>
      <c r="F19" s="138">
        <v>33.93</v>
      </c>
      <c r="G19" s="138">
        <v>1</v>
      </c>
      <c r="H19" s="188">
        <f t="shared" si="0"/>
        <v>0.17616456</v>
      </c>
      <c r="I19" s="145">
        <f t="shared" si="3"/>
        <v>112.44060256799111</v>
      </c>
      <c r="J19" s="138">
        <v>6</v>
      </c>
      <c r="K19" s="138">
        <v>112</v>
      </c>
      <c r="L19" s="138">
        <v>97</v>
      </c>
      <c r="M19" s="342">
        <f t="shared" si="1"/>
        <v>19</v>
      </c>
    </row>
    <row r="20" spans="1:13" s="298" customFormat="1" x14ac:dyDescent="0.25">
      <c r="A20" s="147">
        <v>7</v>
      </c>
      <c r="B20" s="341" t="s">
        <v>661</v>
      </c>
      <c r="C20" s="138">
        <v>0.68</v>
      </c>
      <c r="D20" s="145">
        <f t="shared" si="2"/>
        <v>125.92592592592592</v>
      </c>
      <c r="E20" s="138">
        <v>16</v>
      </c>
      <c r="F20" s="138">
        <v>33.68</v>
      </c>
      <c r="G20" s="138">
        <v>1</v>
      </c>
      <c r="H20" s="188">
        <f t="shared" si="0"/>
        <v>0.20154112000000002</v>
      </c>
      <c r="I20" s="145">
        <f t="shared" si="3"/>
        <v>128.63770655702717</v>
      </c>
      <c r="J20" s="138">
        <v>8</v>
      </c>
      <c r="K20" s="138">
        <v>113</v>
      </c>
      <c r="L20" s="138">
        <v>98</v>
      </c>
      <c r="M20" s="342">
        <f t="shared" si="1"/>
        <v>25</v>
      </c>
    </row>
    <row r="21" spans="1:13" x14ac:dyDescent="0.25">
      <c r="M21" s="142"/>
    </row>
    <row r="22" spans="1:13" x14ac:dyDescent="0.25">
      <c r="A22" s="99" t="s">
        <v>64</v>
      </c>
      <c r="M22" s="142"/>
    </row>
    <row r="23" spans="1:13" x14ac:dyDescent="0.25">
      <c r="A23" s="282">
        <v>1</v>
      </c>
      <c r="B23" s="343" t="s">
        <v>655</v>
      </c>
      <c r="C23" s="284">
        <v>0.96</v>
      </c>
      <c r="D23" s="283">
        <v>100</v>
      </c>
      <c r="E23" s="283">
        <v>10</v>
      </c>
      <c r="F23" s="283">
        <v>34.72</v>
      </c>
      <c r="G23" s="283">
        <v>1</v>
      </c>
      <c r="H23" s="273">
        <f>(((C23*88)/100)*F23)/100</f>
        <v>0.29331455999999995</v>
      </c>
      <c r="I23" s="283">
        <v>100</v>
      </c>
      <c r="J23" s="283">
        <v>5</v>
      </c>
      <c r="K23" s="283">
        <v>110</v>
      </c>
      <c r="L23" s="283">
        <v>89</v>
      </c>
      <c r="M23" s="288">
        <f>E23+G23+J23</f>
        <v>16</v>
      </c>
    </row>
    <row r="24" spans="1:13" s="298" customFormat="1" x14ac:dyDescent="0.25">
      <c r="A24" s="147">
        <v>2</v>
      </c>
      <c r="B24" s="341" t="s">
        <v>656</v>
      </c>
      <c r="C24" s="139">
        <v>2.14</v>
      </c>
      <c r="D24" s="145">
        <f>(C24*D$23)/C$23</f>
        <v>222.91666666666669</v>
      </c>
      <c r="E24" s="138">
        <v>18</v>
      </c>
      <c r="F24" s="138">
        <v>31.27</v>
      </c>
      <c r="G24" s="138">
        <v>1</v>
      </c>
      <c r="H24" s="188">
        <f t="shared" ref="H24:H29" si="4">(((C24*88)/100)*F24)/100</f>
        <v>0.58887664000000006</v>
      </c>
      <c r="I24" s="145">
        <f t="shared" ref="I24:I29" si="5">(H24*100)/H$23</f>
        <v>200.76624903993863</v>
      </c>
      <c r="J24" s="138">
        <v>9</v>
      </c>
      <c r="K24" s="138">
        <v>110</v>
      </c>
      <c r="L24" s="138">
        <v>91</v>
      </c>
      <c r="M24" s="342">
        <f t="shared" ref="M24:M29" si="6">E24+G24+J24</f>
        <v>28</v>
      </c>
    </row>
    <row r="25" spans="1:13" s="298" customFormat="1" x14ac:dyDescent="0.25">
      <c r="A25" s="147">
        <v>3</v>
      </c>
      <c r="B25" s="341" t="s">
        <v>657</v>
      </c>
      <c r="C25" s="139">
        <v>1.33</v>
      </c>
      <c r="D25" s="145">
        <f t="shared" ref="D25:D29" si="7">(C25*D$23)/C$23</f>
        <v>138.54166666666669</v>
      </c>
      <c r="E25" s="138">
        <v>18</v>
      </c>
      <c r="F25" s="138">
        <v>35.090000000000003</v>
      </c>
      <c r="G25" s="138">
        <v>1</v>
      </c>
      <c r="H25" s="188">
        <f t="shared" si="4"/>
        <v>0.41069336000000006</v>
      </c>
      <c r="I25" s="145">
        <f t="shared" si="5"/>
        <v>140.01806115591404</v>
      </c>
      <c r="J25" s="138">
        <v>9</v>
      </c>
      <c r="K25" s="138">
        <v>109</v>
      </c>
      <c r="L25" s="138">
        <v>90</v>
      </c>
      <c r="M25" s="342">
        <f t="shared" si="6"/>
        <v>28</v>
      </c>
    </row>
    <row r="26" spans="1:13" s="298" customFormat="1" x14ac:dyDescent="0.25">
      <c r="A26" s="147">
        <v>4</v>
      </c>
      <c r="B26" s="341" t="s">
        <v>658</v>
      </c>
      <c r="C26" s="139">
        <v>1</v>
      </c>
      <c r="D26" s="145">
        <f t="shared" si="7"/>
        <v>104.16666666666667</v>
      </c>
      <c r="E26" s="138">
        <v>10</v>
      </c>
      <c r="F26" s="138">
        <v>35.119999999999997</v>
      </c>
      <c r="G26" s="138">
        <v>1</v>
      </c>
      <c r="H26" s="188">
        <f t="shared" si="4"/>
        <v>0.30905599999999994</v>
      </c>
      <c r="I26" s="145">
        <f t="shared" si="5"/>
        <v>105.36674347158217</v>
      </c>
      <c r="J26" s="138">
        <v>5</v>
      </c>
      <c r="K26" s="138">
        <v>111</v>
      </c>
      <c r="L26" s="138">
        <v>85</v>
      </c>
      <c r="M26" s="342">
        <f t="shared" si="6"/>
        <v>16</v>
      </c>
    </row>
    <row r="27" spans="1:13" s="298" customFormat="1" x14ac:dyDescent="0.25">
      <c r="A27" s="147">
        <v>5</v>
      </c>
      <c r="B27" s="341" t="s">
        <v>659</v>
      </c>
      <c r="C27" s="139">
        <v>1.69</v>
      </c>
      <c r="D27" s="145">
        <f t="shared" si="7"/>
        <v>176.04166666666669</v>
      </c>
      <c r="E27" s="138">
        <v>18</v>
      </c>
      <c r="F27" s="138">
        <v>32.79</v>
      </c>
      <c r="G27" s="138">
        <v>1</v>
      </c>
      <c r="H27" s="188">
        <f t="shared" si="4"/>
        <v>0.48765287999999996</v>
      </c>
      <c r="I27" s="145">
        <f t="shared" si="5"/>
        <v>166.25594038018437</v>
      </c>
      <c r="J27" s="138">
        <v>9</v>
      </c>
      <c r="K27" s="138">
        <v>107</v>
      </c>
      <c r="L27" s="138">
        <v>109</v>
      </c>
      <c r="M27" s="342">
        <f t="shared" si="6"/>
        <v>28</v>
      </c>
    </row>
    <row r="28" spans="1:13" s="298" customFormat="1" x14ac:dyDescent="0.25">
      <c r="A28" s="147">
        <v>6</v>
      </c>
      <c r="B28" s="341" t="s">
        <v>660</v>
      </c>
      <c r="C28" s="139">
        <v>1.28</v>
      </c>
      <c r="D28" s="145">
        <f t="shared" si="7"/>
        <v>133.33333333333334</v>
      </c>
      <c r="E28" s="138">
        <v>16</v>
      </c>
      <c r="F28" s="138">
        <v>34.21</v>
      </c>
      <c r="G28" s="138">
        <v>1</v>
      </c>
      <c r="H28" s="188">
        <f t="shared" si="4"/>
        <v>0.38534144000000004</v>
      </c>
      <c r="I28" s="145">
        <f t="shared" si="5"/>
        <v>131.37480798771125</v>
      </c>
      <c r="J28" s="138">
        <v>8</v>
      </c>
      <c r="K28" s="138">
        <v>109</v>
      </c>
      <c r="L28" s="138">
        <v>103</v>
      </c>
      <c r="M28" s="342">
        <f t="shared" si="6"/>
        <v>25</v>
      </c>
    </row>
    <row r="29" spans="1:13" s="298" customFormat="1" x14ac:dyDescent="0.25">
      <c r="A29" s="147">
        <v>7</v>
      </c>
      <c r="B29" s="341" t="s">
        <v>661</v>
      </c>
      <c r="C29" s="139">
        <v>1.45</v>
      </c>
      <c r="D29" s="145">
        <f t="shared" si="7"/>
        <v>151.04166666666669</v>
      </c>
      <c r="E29" s="138">
        <v>18</v>
      </c>
      <c r="F29" s="138">
        <v>35.049999999999997</v>
      </c>
      <c r="G29" s="138">
        <v>1</v>
      </c>
      <c r="H29" s="188">
        <f t="shared" si="4"/>
        <v>0.44723799999999997</v>
      </c>
      <c r="I29" s="145">
        <f t="shared" si="5"/>
        <v>152.47725854454686</v>
      </c>
      <c r="J29" s="138">
        <v>9</v>
      </c>
      <c r="K29" s="138">
        <v>110</v>
      </c>
      <c r="L29" s="138">
        <v>94</v>
      </c>
      <c r="M29" s="342">
        <f t="shared" si="6"/>
        <v>28</v>
      </c>
    </row>
    <row r="31" spans="1:13" x14ac:dyDescent="0.25">
      <c r="A31" s="111" t="s">
        <v>293</v>
      </c>
      <c r="M31" s="142"/>
    </row>
    <row r="32" spans="1:13" x14ac:dyDescent="0.25">
      <c r="A32" s="282">
        <v>1</v>
      </c>
      <c r="B32" s="343" t="s">
        <v>655</v>
      </c>
      <c r="C32" s="284">
        <f>(C14+C23)/2</f>
        <v>0.75</v>
      </c>
      <c r="D32" s="283">
        <v>100</v>
      </c>
      <c r="E32" s="283">
        <v>10</v>
      </c>
      <c r="F32" s="284">
        <f>(F14+F23)/2</f>
        <v>33.844999999999999</v>
      </c>
      <c r="G32" s="285">
        <v>1</v>
      </c>
      <c r="H32" s="273">
        <f t="shared" ref="H32:H38" si="8">(((C32*88)/100)*F32)/100</f>
        <v>0.22337700000000002</v>
      </c>
      <c r="I32" s="283">
        <v>100</v>
      </c>
      <c r="J32" s="283">
        <v>5</v>
      </c>
      <c r="K32" s="285">
        <f>(K14+K23)/2</f>
        <v>111.5</v>
      </c>
      <c r="L32" s="285">
        <f>SUM(L14+L23)/2</f>
        <v>94.5</v>
      </c>
      <c r="M32" s="288">
        <f>E32+G32+J32</f>
        <v>16</v>
      </c>
    </row>
    <row r="33" spans="1:13" s="298" customFormat="1" x14ac:dyDescent="0.25">
      <c r="A33" s="147">
        <v>2</v>
      </c>
      <c r="B33" s="341" t="s">
        <v>656</v>
      </c>
      <c r="C33" s="139">
        <f t="shared" ref="C33:C38" si="9">(C15+C24)/2</f>
        <v>1.3149999999999999</v>
      </c>
      <c r="D33" s="145">
        <f t="shared" ref="D33:D38" si="10">(C33*100)/C$32</f>
        <v>175.33333333333334</v>
      </c>
      <c r="E33" s="138">
        <v>18</v>
      </c>
      <c r="F33" s="139">
        <f>(F15+F24)/2</f>
        <v>32.744999999999997</v>
      </c>
      <c r="G33" s="145">
        <v>1</v>
      </c>
      <c r="H33" s="188">
        <f t="shared" si="8"/>
        <v>0.37892513999999999</v>
      </c>
      <c r="I33" s="145">
        <f>(H33*100)/H$32</f>
        <v>169.63480573201358</v>
      </c>
      <c r="J33" s="138">
        <v>9</v>
      </c>
      <c r="K33" s="145">
        <f t="shared" ref="K33:K38" si="11">(K15+K24)/2</f>
        <v>111</v>
      </c>
      <c r="L33" s="145">
        <f t="shared" ref="L33:L38" si="12">SUM(L15+L24)/2</f>
        <v>99</v>
      </c>
      <c r="M33" s="342">
        <f t="shared" ref="M33:M38" si="13">E33+G33+J33</f>
        <v>28</v>
      </c>
    </row>
    <row r="34" spans="1:13" s="298" customFormat="1" x14ac:dyDescent="0.25">
      <c r="A34" s="147">
        <v>3</v>
      </c>
      <c r="B34" s="341" t="s">
        <v>657</v>
      </c>
      <c r="C34" s="139">
        <f t="shared" si="9"/>
        <v>1.075</v>
      </c>
      <c r="D34" s="145">
        <f t="shared" si="10"/>
        <v>143.33333333333334</v>
      </c>
      <c r="E34" s="138">
        <v>18</v>
      </c>
      <c r="F34" s="139">
        <f t="shared" ref="F34:F38" si="14">(F16+F25)/2</f>
        <v>33.18</v>
      </c>
      <c r="G34" s="145">
        <v>1</v>
      </c>
      <c r="H34" s="188">
        <f t="shared" si="8"/>
        <v>0.31388279999999996</v>
      </c>
      <c r="I34" s="145">
        <f t="shared" ref="I34:I38" si="15">(H34*100)/H$32</f>
        <v>140.51706308169594</v>
      </c>
      <c r="J34" s="138">
        <v>9</v>
      </c>
      <c r="K34" s="145">
        <f t="shared" si="11"/>
        <v>111</v>
      </c>
      <c r="L34" s="145">
        <f t="shared" si="12"/>
        <v>90.5</v>
      </c>
      <c r="M34" s="342">
        <f t="shared" si="13"/>
        <v>28</v>
      </c>
    </row>
    <row r="35" spans="1:13" s="298" customFormat="1" x14ac:dyDescent="0.25">
      <c r="A35" s="147">
        <v>4</v>
      </c>
      <c r="B35" s="341" t="s">
        <v>658</v>
      </c>
      <c r="C35" s="139">
        <f t="shared" si="9"/>
        <v>0.66500000000000004</v>
      </c>
      <c r="D35" s="145">
        <f t="shared" si="10"/>
        <v>88.666666666666671</v>
      </c>
      <c r="E35" s="138">
        <v>8</v>
      </c>
      <c r="F35" s="139">
        <f t="shared" si="14"/>
        <v>34.394999999999996</v>
      </c>
      <c r="G35" s="145">
        <v>1</v>
      </c>
      <c r="H35" s="188">
        <f t="shared" si="8"/>
        <v>0.20127953999999998</v>
      </c>
      <c r="I35" s="145">
        <f t="shared" si="15"/>
        <v>90.107549120992743</v>
      </c>
      <c r="J35" s="138">
        <v>4</v>
      </c>
      <c r="K35" s="145">
        <f t="shared" si="11"/>
        <v>112</v>
      </c>
      <c r="L35" s="145">
        <f t="shared" si="12"/>
        <v>89.5</v>
      </c>
      <c r="M35" s="342">
        <f t="shared" si="13"/>
        <v>13</v>
      </c>
    </row>
    <row r="36" spans="1:13" s="298" customFormat="1" x14ac:dyDescent="0.25">
      <c r="A36" s="147">
        <v>5</v>
      </c>
      <c r="B36" s="341" t="s">
        <v>659</v>
      </c>
      <c r="C36" s="139">
        <f t="shared" si="9"/>
        <v>1.135</v>
      </c>
      <c r="D36" s="145">
        <f t="shared" si="10"/>
        <v>151.33333333333334</v>
      </c>
      <c r="E36" s="138">
        <v>18</v>
      </c>
      <c r="F36" s="139">
        <f t="shared" si="14"/>
        <v>32.5</v>
      </c>
      <c r="G36" s="145">
        <v>1</v>
      </c>
      <c r="H36" s="188">
        <f t="shared" si="8"/>
        <v>0.32461000000000001</v>
      </c>
      <c r="I36" s="145">
        <f t="shared" si="15"/>
        <v>145.31934800807602</v>
      </c>
      <c r="J36" s="138">
        <v>9</v>
      </c>
      <c r="K36" s="145">
        <f t="shared" si="11"/>
        <v>110</v>
      </c>
      <c r="L36" s="145">
        <f t="shared" si="12"/>
        <v>103</v>
      </c>
      <c r="M36" s="342">
        <f t="shared" si="13"/>
        <v>28</v>
      </c>
    </row>
    <row r="37" spans="1:13" s="298" customFormat="1" x14ac:dyDescent="0.25">
      <c r="A37" s="147">
        <v>6</v>
      </c>
      <c r="B37" s="341" t="s">
        <v>660</v>
      </c>
      <c r="C37" s="139">
        <f t="shared" si="9"/>
        <v>0.93500000000000005</v>
      </c>
      <c r="D37" s="145">
        <f t="shared" si="10"/>
        <v>124.66666666666667</v>
      </c>
      <c r="E37" s="138">
        <v>14</v>
      </c>
      <c r="F37" s="139">
        <f t="shared" si="14"/>
        <v>34.07</v>
      </c>
      <c r="G37" s="145">
        <v>1</v>
      </c>
      <c r="H37" s="188">
        <f t="shared" si="8"/>
        <v>0.28032795999999999</v>
      </c>
      <c r="I37" s="145">
        <f t="shared" si="15"/>
        <v>125.49544492047075</v>
      </c>
      <c r="J37" s="138">
        <v>7</v>
      </c>
      <c r="K37" s="145">
        <f t="shared" si="11"/>
        <v>110.5</v>
      </c>
      <c r="L37" s="145">
        <f t="shared" si="12"/>
        <v>100</v>
      </c>
      <c r="M37" s="342">
        <f t="shared" si="13"/>
        <v>22</v>
      </c>
    </row>
    <row r="38" spans="1:13" s="298" customFormat="1" x14ac:dyDescent="0.25">
      <c r="A38" s="147">
        <v>7</v>
      </c>
      <c r="B38" s="341" t="s">
        <v>661</v>
      </c>
      <c r="C38" s="139">
        <f t="shared" si="9"/>
        <v>1.0649999999999999</v>
      </c>
      <c r="D38" s="145">
        <f t="shared" si="10"/>
        <v>142</v>
      </c>
      <c r="E38" s="138">
        <v>18</v>
      </c>
      <c r="F38" s="139">
        <f t="shared" si="14"/>
        <v>34.364999999999995</v>
      </c>
      <c r="G38" s="145">
        <v>1</v>
      </c>
      <c r="H38" s="188">
        <f t="shared" si="8"/>
        <v>0.32206877999999994</v>
      </c>
      <c r="I38" s="145">
        <f t="shared" si="15"/>
        <v>144.18171074013884</v>
      </c>
      <c r="J38" s="138">
        <v>9</v>
      </c>
      <c r="K38" s="145">
        <f t="shared" si="11"/>
        <v>111.5</v>
      </c>
      <c r="L38" s="145">
        <f t="shared" si="12"/>
        <v>96</v>
      </c>
      <c r="M38" s="342">
        <f t="shared" si="13"/>
        <v>28</v>
      </c>
    </row>
    <row r="41" spans="1:13" x14ac:dyDescent="0.25">
      <c r="B41" s="427" t="s">
        <v>104</v>
      </c>
      <c r="C41" s="427"/>
      <c r="D41" s="427"/>
      <c r="E41" s="427"/>
      <c r="F41" s="427"/>
      <c r="G41" s="427"/>
      <c r="H41" s="427"/>
      <c r="I41" s="427"/>
      <c r="J41" s="427"/>
    </row>
    <row r="42" spans="1:13" x14ac:dyDescent="0.25">
      <c r="B42" s="124" t="s">
        <v>454</v>
      </c>
      <c r="C42" s="353" t="s">
        <v>134</v>
      </c>
      <c r="D42" s="353"/>
      <c r="E42" s="353" t="s">
        <v>135</v>
      </c>
      <c r="F42" s="353"/>
      <c r="G42" s="353"/>
      <c r="H42" s="353"/>
      <c r="I42" s="353"/>
      <c r="J42" s="353"/>
    </row>
    <row r="43" spans="1:13" x14ac:dyDescent="0.25">
      <c r="B43" s="134" t="s">
        <v>106</v>
      </c>
      <c r="C43" s="425"/>
      <c r="D43" s="429"/>
      <c r="E43" s="429"/>
      <c r="F43" s="429"/>
      <c r="G43" s="429"/>
      <c r="H43" s="429"/>
      <c r="I43" s="429"/>
      <c r="J43" s="429"/>
    </row>
    <row r="44" spans="1:13" x14ac:dyDescent="0.25">
      <c r="B44" s="124" t="s">
        <v>107</v>
      </c>
      <c r="C44" s="451">
        <v>2.2999999999999998</v>
      </c>
      <c r="D44" s="451"/>
      <c r="E44" s="358">
        <v>2.7</v>
      </c>
      <c r="F44" s="358"/>
      <c r="G44" s="358"/>
      <c r="H44" s="358"/>
      <c r="I44" s="358"/>
      <c r="J44" s="358"/>
    </row>
    <row r="45" spans="1:13" x14ac:dyDescent="0.25">
      <c r="B45" s="124" t="s">
        <v>136</v>
      </c>
      <c r="C45" s="353" t="s">
        <v>161</v>
      </c>
      <c r="D45" s="353"/>
      <c r="E45" s="358" t="s">
        <v>662</v>
      </c>
      <c r="F45" s="358"/>
      <c r="G45" s="358"/>
      <c r="H45" s="358"/>
      <c r="I45" s="358"/>
      <c r="J45" s="358"/>
    </row>
    <row r="46" spans="1:13" x14ac:dyDescent="0.25">
      <c r="B46" s="124" t="s">
        <v>108</v>
      </c>
      <c r="C46" s="353">
        <v>6.9</v>
      </c>
      <c r="D46" s="353"/>
      <c r="E46" s="358">
        <v>5.8</v>
      </c>
      <c r="F46" s="358"/>
      <c r="G46" s="358"/>
      <c r="H46" s="358"/>
      <c r="I46" s="358"/>
      <c r="J46" s="358"/>
    </row>
    <row r="47" spans="1:13" x14ac:dyDescent="0.25">
      <c r="B47" s="124" t="s">
        <v>109</v>
      </c>
      <c r="C47" s="353">
        <v>237</v>
      </c>
      <c r="D47" s="353"/>
      <c r="E47" s="358">
        <v>69</v>
      </c>
      <c r="F47" s="358"/>
      <c r="G47" s="358"/>
      <c r="H47" s="358"/>
      <c r="I47" s="358"/>
      <c r="J47" s="358"/>
    </row>
    <row r="48" spans="1:13" x14ac:dyDescent="0.25">
      <c r="B48" s="124" t="s">
        <v>110</v>
      </c>
      <c r="C48" s="353">
        <v>231</v>
      </c>
      <c r="D48" s="353"/>
      <c r="E48" s="358">
        <v>120</v>
      </c>
      <c r="F48" s="358"/>
      <c r="G48" s="358"/>
      <c r="H48" s="358"/>
      <c r="I48" s="358"/>
      <c r="J48" s="358"/>
    </row>
    <row r="49" spans="2:10" x14ac:dyDescent="0.25">
      <c r="B49" s="130" t="s">
        <v>120</v>
      </c>
      <c r="C49" s="363" t="s">
        <v>663</v>
      </c>
      <c r="D49" s="357"/>
      <c r="E49" s="357"/>
      <c r="F49" s="357"/>
      <c r="G49" s="357"/>
      <c r="H49" s="357"/>
      <c r="I49" s="357"/>
      <c r="J49" s="357"/>
    </row>
    <row r="50" spans="2:10" x14ac:dyDescent="0.25">
      <c r="B50" s="124" t="s">
        <v>111</v>
      </c>
      <c r="C50" s="378" t="s">
        <v>665</v>
      </c>
      <c r="D50" s="378"/>
      <c r="E50" s="379" t="s">
        <v>577</v>
      </c>
      <c r="F50" s="379"/>
      <c r="G50" s="379"/>
      <c r="H50" s="379"/>
      <c r="I50" s="379"/>
      <c r="J50" s="379"/>
    </row>
    <row r="51" spans="2:10" x14ac:dyDescent="0.25">
      <c r="B51" s="123" t="s">
        <v>112</v>
      </c>
      <c r="C51" s="357" t="s">
        <v>666</v>
      </c>
      <c r="D51" s="364"/>
      <c r="E51" s="358" t="s">
        <v>664</v>
      </c>
      <c r="F51" s="358"/>
      <c r="G51" s="358"/>
      <c r="H51" s="358"/>
      <c r="I51" s="358"/>
      <c r="J51" s="358"/>
    </row>
    <row r="52" spans="2:10" x14ac:dyDescent="0.25">
      <c r="B52" s="124" t="s">
        <v>113</v>
      </c>
      <c r="C52" s="423"/>
      <c r="D52" s="423"/>
      <c r="E52" s="423"/>
      <c r="F52" s="423"/>
      <c r="G52" s="423"/>
      <c r="H52" s="423"/>
      <c r="I52" s="423"/>
      <c r="J52" s="423"/>
    </row>
    <row r="53" spans="2:10" x14ac:dyDescent="0.25">
      <c r="B53" s="124" t="s">
        <v>114</v>
      </c>
      <c r="C53" s="125" t="s">
        <v>667</v>
      </c>
      <c r="D53" s="206" t="s">
        <v>668</v>
      </c>
      <c r="E53" s="227" t="s">
        <v>633</v>
      </c>
      <c r="F53" s="227" t="s">
        <v>438</v>
      </c>
      <c r="G53" s="227"/>
      <c r="H53" s="227"/>
      <c r="I53" s="227"/>
      <c r="J53" s="227"/>
    </row>
    <row r="54" spans="2:10" x14ac:dyDescent="0.25">
      <c r="B54" s="124" t="s">
        <v>138</v>
      </c>
      <c r="C54" s="124"/>
      <c r="D54" s="206" t="s">
        <v>669</v>
      </c>
      <c r="E54" s="227"/>
      <c r="F54" s="227"/>
      <c r="G54" s="227"/>
      <c r="H54" s="227"/>
      <c r="I54" s="227"/>
      <c r="J54" s="227"/>
    </row>
    <row r="55" spans="2:10" x14ac:dyDescent="0.25">
      <c r="B55" s="124"/>
      <c r="C55" s="124"/>
      <c r="D55" s="126"/>
      <c r="E55" s="227"/>
      <c r="F55" s="227"/>
      <c r="G55" s="227"/>
      <c r="H55" s="227"/>
      <c r="I55" s="227"/>
      <c r="J55" s="227"/>
    </row>
  </sheetData>
  <mergeCells count="38">
    <mergeCell ref="F10:F11"/>
    <mergeCell ref="C52:J52"/>
    <mergeCell ref="C10:C11"/>
    <mergeCell ref="C50:D50"/>
    <mergeCell ref="E50:J50"/>
    <mergeCell ref="C51:D51"/>
    <mergeCell ref="E51:J51"/>
    <mergeCell ref="C48:D48"/>
    <mergeCell ref="E48:J48"/>
    <mergeCell ref="C49:J49"/>
    <mergeCell ref="C46:D46"/>
    <mergeCell ref="E46:J46"/>
    <mergeCell ref="C47:D47"/>
    <mergeCell ref="E47:J47"/>
    <mergeCell ref="C43:J43"/>
    <mergeCell ref="C44:D44"/>
    <mergeCell ref="E44:J44"/>
    <mergeCell ref="C45:D45"/>
    <mergeCell ref="E45:J45"/>
    <mergeCell ref="B41:J41"/>
    <mergeCell ref="C42:D42"/>
    <mergeCell ref="E42:J42"/>
    <mergeCell ref="M8:M11"/>
    <mergeCell ref="L8:L9"/>
    <mergeCell ref="A8:A11"/>
    <mergeCell ref="B8:B11"/>
    <mergeCell ref="D10:D11"/>
    <mergeCell ref="E10:E11"/>
    <mergeCell ref="L10:L11"/>
    <mergeCell ref="K8:K9"/>
    <mergeCell ref="K10:K11"/>
    <mergeCell ref="C8:E9"/>
    <mergeCell ref="H10:H11"/>
    <mergeCell ref="I10:I11"/>
    <mergeCell ref="J10:J11"/>
    <mergeCell ref="H8:J9"/>
    <mergeCell ref="F8:G9"/>
    <mergeCell ref="G10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6"/>
  <sheetViews>
    <sheetView workbookViewId="0">
      <selection activeCell="O29" sqref="O29"/>
    </sheetView>
  </sheetViews>
  <sheetFormatPr defaultRowHeight="15" x14ac:dyDescent="0.25"/>
  <cols>
    <col min="1" max="1" width="4.28515625" customWidth="1"/>
    <col min="2" max="2" width="33.140625" customWidth="1"/>
    <col min="3" max="3" width="12.42578125" customWidth="1"/>
    <col min="4" max="4" width="22.5703125" customWidth="1"/>
    <col min="5" max="5" width="11.7109375" customWidth="1"/>
    <col min="6" max="6" width="22.7109375" customWidth="1"/>
  </cols>
  <sheetData>
    <row r="2" spans="1:18" x14ac:dyDescent="0.25">
      <c r="B2" s="25" t="s">
        <v>302</v>
      </c>
    </row>
    <row r="3" spans="1:18" x14ac:dyDescent="0.25">
      <c r="B3" s="24" t="s">
        <v>303</v>
      </c>
    </row>
    <row r="5" spans="1:18" ht="15.75" x14ac:dyDescent="0.25">
      <c r="A5" s="26" t="s">
        <v>26</v>
      </c>
    </row>
    <row r="7" spans="1:18" ht="76.5" x14ac:dyDescent="0.25">
      <c r="A7" s="372" t="s">
        <v>1</v>
      </c>
      <c r="B7" s="372" t="s">
        <v>2</v>
      </c>
      <c r="C7" s="372" t="s">
        <v>27</v>
      </c>
      <c r="D7" s="372"/>
      <c r="E7" s="372"/>
      <c r="F7" s="27" t="s">
        <v>4</v>
      </c>
      <c r="G7" s="27" t="s">
        <v>5</v>
      </c>
      <c r="H7" s="27" t="s">
        <v>28</v>
      </c>
      <c r="I7" s="27" t="s">
        <v>7</v>
      </c>
      <c r="J7" s="372" t="s">
        <v>29</v>
      </c>
      <c r="K7" s="372"/>
      <c r="L7" s="372" t="s">
        <v>9</v>
      </c>
      <c r="M7" s="372"/>
      <c r="N7" s="372" t="s">
        <v>10</v>
      </c>
      <c r="O7" s="372"/>
      <c r="P7" s="372" t="s">
        <v>30</v>
      </c>
      <c r="Q7" s="372"/>
      <c r="R7" s="371" t="s">
        <v>13</v>
      </c>
    </row>
    <row r="8" spans="1:18" ht="25.5" x14ac:dyDescent="0.25">
      <c r="A8" s="372"/>
      <c r="B8" s="372"/>
      <c r="C8" s="28" t="s">
        <v>14</v>
      </c>
      <c r="D8" s="28" t="s">
        <v>15</v>
      </c>
      <c r="E8" s="28" t="s">
        <v>16</v>
      </c>
      <c r="F8" s="28" t="s">
        <v>31</v>
      </c>
      <c r="G8" s="28" t="s">
        <v>16</v>
      </c>
      <c r="H8" s="28" t="s">
        <v>18</v>
      </c>
      <c r="I8" s="28" t="s">
        <v>19</v>
      </c>
      <c r="J8" s="28" t="s">
        <v>20</v>
      </c>
      <c r="K8" s="28" t="s">
        <v>16</v>
      </c>
      <c r="L8" s="28" t="s">
        <v>21</v>
      </c>
      <c r="M8" s="29" t="s">
        <v>16</v>
      </c>
      <c r="N8" s="29" t="s">
        <v>22</v>
      </c>
      <c r="O8" s="29" t="s">
        <v>16</v>
      </c>
      <c r="P8" s="28" t="s">
        <v>21</v>
      </c>
      <c r="Q8" s="28" t="s">
        <v>32</v>
      </c>
      <c r="R8" s="371"/>
    </row>
    <row r="9" spans="1:18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7"/>
      <c r="N9" s="37"/>
      <c r="O9" s="37"/>
      <c r="P9" s="33"/>
      <c r="Q9" s="33"/>
      <c r="R9" s="38"/>
    </row>
    <row r="10" spans="1:18" x14ac:dyDescent="0.25">
      <c r="A10" s="111" t="s">
        <v>292</v>
      </c>
    </row>
    <row r="11" spans="1:18" x14ac:dyDescent="0.25">
      <c r="A11" s="239">
        <v>1</v>
      </c>
      <c r="B11" s="240" t="s">
        <v>304</v>
      </c>
      <c r="C11" s="241">
        <v>8.5</v>
      </c>
      <c r="D11" s="239">
        <v>100</v>
      </c>
      <c r="E11" s="239">
        <v>10</v>
      </c>
      <c r="F11" s="239">
        <v>8</v>
      </c>
      <c r="G11" s="239">
        <v>9</v>
      </c>
      <c r="H11" s="242">
        <v>82</v>
      </c>
      <c r="I11" s="239">
        <v>192</v>
      </c>
      <c r="J11" s="242">
        <v>649</v>
      </c>
      <c r="K11" s="239">
        <v>6</v>
      </c>
      <c r="L11" s="243">
        <v>12.18</v>
      </c>
      <c r="M11" s="239">
        <v>5</v>
      </c>
      <c r="N11" s="243">
        <v>49.51</v>
      </c>
      <c r="O11" s="242">
        <v>8</v>
      </c>
      <c r="P11" s="243">
        <v>60.39</v>
      </c>
      <c r="Q11" s="239">
        <v>5</v>
      </c>
      <c r="R11" s="244">
        <f>SUM(E11+F11+K11+M11+O11+Q11)</f>
        <v>42</v>
      </c>
    </row>
    <row r="12" spans="1:18" x14ac:dyDescent="0.25">
      <c r="A12" s="4">
        <v>2</v>
      </c>
      <c r="B12" s="3" t="s">
        <v>305</v>
      </c>
      <c r="C12" s="19">
        <v>7.58</v>
      </c>
      <c r="D12" s="2">
        <f>(C12*D11)/C$11</f>
        <v>89.17647058823529</v>
      </c>
      <c r="E12" s="4">
        <v>8</v>
      </c>
      <c r="F12" s="4">
        <v>9</v>
      </c>
      <c r="G12" s="4">
        <v>9</v>
      </c>
      <c r="H12" s="2">
        <v>79</v>
      </c>
      <c r="I12" s="4">
        <v>189</v>
      </c>
      <c r="J12" s="2">
        <v>631</v>
      </c>
      <c r="K12" s="4">
        <v>6</v>
      </c>
      <c r="L12" s="1">
        <v>12.75</v>
      </c>
      <c r="M12" s="4">
        <v>5</v>
      </c>
      <c r="N12" s="1">
        <v>51.04</v>
      </c>
      <c r="O12" s="2">
        <v>9</v>
      </c>
      <c r="P12" s="1">
        <v>60.06</v>
      </c>
      <c r="Q12" s="4">
        <v>4</v>
      </c>
      <c r="R12" s="23">
        <f>SUM(E12+F12+K12+M12+O12+Q12)</f>
        <v>41</v>
      </c>
    </row>
    <row r="13" spans="1:18" x14ac:dyDescent="0.25">
      <c r="A13" s="4">
        <v>3</v>
      </c>
      <c r="B13" s="3" t="s">
        <v>306</v>
      </c>
      <c r="C13" s="19">
        <v>7.75</v>
      </c>
      <c r="D13" s="2">
        <f>(C13*D11)/C$11</f>
        <v>91.17647058823529</v>
      </c>
      <c r="E13" s="4">
        <v>8</v>
      </c>
      <c r="F13" s="4">
        <v>9</v>
      </c>
      <c r="G13" s="4">
        <v>9</v>
      </c>
      <c r="H13" s="2">
        <v>73</v>
      </c>
      <c r="I13" s="4">
        <v>186</v>
      </c>
      <c r="J13" s="2">
        <v>650</v>
      </c>
      <c r="K13" s="4">
        <v>6</v>
      </c>
      <c r="L13" s="1">
        <v>12.41</v>
      </c>
      <c r="M13" s="4">
        <v>5</v>
      </c>
      <c r="N13" s="1">
        <v>55.59</v>
      </c>
      <c r="O13" s="2">
        <v>9</v>
      </c>
      <c r="P13" s="1">
        <v>60.78</v>
      </c>
      <c r="Q13" s="4">
        <v>5</v>
      </c>
      <c r="R13" s="23">
        <f>SUM(E13+F13+K13+M13+O13+Q13)</f>
        <v>42</v>
      </c>
    </row>
    <row r="15" spans="1:18" x14ac:dyDescent="0.25">
      <c r="A15" s="111" t="s">
        <v>290</v>
      </c>
    </row>
    <row r="16" spans="1:18" x14ac:dyDescent="0.25">
      <c r="A16" s="239">
        <v>1</v>
      </c>
      <c r="B16" s="240" t="s">
        <v>304</v>
      </c>
      <c r="C16" s="241">
        <v>5.3</v>
      </c>
      <c r="D16" s="239">
        <v>100</v>
      </c>
      <c r="E16" s="239">
        <v>10</v>
      </c>
      <c r="F16" s="239">
        <v>9</v>
      </c>
      <c r="G16" s="239">
        <v>9</v>
      </c>
      <c r="H16" s="242">
        <v>61</v>
      </c>
      <c r="I16" s="239">
        <v>197</v>
      </c>
      <c r="J16" s="242">
        <v>697.4</v>
      </c>
      <c r="K16" s="239">
        <v>8</v>
      </c>
      <c r="L16" s="243">
        <v>11.17</v>
      </c>
      <c r="M16" s="239">
        <v>4</v>
      </c>
      <c r="N16" s="243">
        <v>48.9</v>
      </c>
      <c r="O16" s="242">
        <v>8</v>
      </c>
      <c r="P16" s="243">
        <v>61.2</v>
      </c>
      <c r="Q16" s="239">
        <v>5</v>
      </c>
      <c r="R16" s="244">
        <f>SUM(E16+F16+K16+M16+O16+Q16)</f>
        <v>44</v>
      </c>
    </row>
    <row r="17" spans="1:18" x14ac:dyDescent="0.25">
      <c r="A17" s="4">
        <v>2</v>
      </c>
      <c r="B17" s="3" t="s">
        <v>305</v>
      </c>
      <c r="C17" s="19">
        <v>4.5999999999999996</v>
      </c>
      <c r="D17" s="2">
        <f>(C17*D16)/C$16</f>
        <v>86.792452830188665</v>
      </c>
      <c r="E17" s="4">
        <v>8</v>
      </c>
      <c r="F17" s="4">
        <v>9</v>
      </c>
      <c r="G17" s="4">
        <v>9</v>
      </c>
      <c r="H17" s="2">
        <v>60</v>
      </c>
      <c r="I17" s="4">
        <v>197</v>
      </c>
      <c r="J17" s="2">
        <v>678.2</v>
      </c>
      <c r="K17" s="4">
        <v>7</v>
      </c>
      <c r="L17" s="1">
        <v>11</v>
      </c>
      <c r="M17" s="4">
        <v>4</v>
      </c>
      <c r="N17" s="1">
        <v>48.3</v>
      </c>
      <c r="O17" s="2">
        <v>8</v>
      </c>
      <c r="P17" s="1">
        <v>60.76</v>
      </c>
      <c r="Q17" s="4">
        <v>5</v>
      </c>
      <c r="R17" s="23">
        <f>SUM(E17+F17+K17+M17+O17+Q17)</f>
        <v>41</v>
      </c>
    </row>
    <row r="18" spans="1:18" x14ac:dyDescent="0.25">
      <c r="A18" s="4">
        <v>3</v>
      </c>
      <c r="B18" s="3" t="s">
        <v>306</v>
      </c>
      <c r="C18" s="19">
        <v>3.82</v>
      </c>
      <c r="D18" s="2">
        <f>(C18*D16)/C$16</f>
        <v>72.075471698113205</v>
      </c>
      <c r="E18" s="4">
        <v>4</v>
      </c>
      <c r="F18" s="4">
        <v>9</v>
      </c>
      <c r="G18" s="4">
        <v>9</v>
      </c>
      <c r="H18" s="2">
        <v>51</v>
      </c>
      <c r="I18" s="4">
        <v>197</v>
      </c>
      <c r="J18" s="2">
        <v>682.3</v>
      </c>
      <c r="K18" s="4">
        <v>8</v>
      </c>
      <c r="L18" s="1">
        <v>11.52</v>
      </c>
      <c r="M18" s="4">
        <v>4</v>
      </c>
      <c r="N18" s="1">
        <v>49.1</v>
      </c>
      <c r="O18" s="2">
        <v>8</v>
      </c>
      <c r="P18" s="1">
        <v>61.17</v>
      </c>
      <c r="Q18" s="4">
        <v>5</v>
      </c>
      <c r="R18" s="23">
        <f>SUM(E18+F18+K18+M18+O18+Q18)</f>
        <v>38</v>
      </c>
    </row>
    <row r="20" spans="1:18" x14ac:dyDescent="0.25">
      <c r="A20" s="111" t="s">
        <v>293</v>
      </c>
    </row>
    <row r="21" spans="1:18" x14ac:dyDescent="0.25">
      <c r="A21" s="239">
        <v>1</v>
      </c>
      <c r="B21" s="240" t="s">
        <v>304</v>
      </c>
      <c r="C21" s="241">
        <f>(C11+C16)/2</f>
        <v>6.9</v>
      </c>
      <c r="D21" s="239">
        <v>100</v>
      </c>
      <c r="E21" s="239">
        <v>10</v>
      </c>
      <c r="F21" s="242">
        <f t="shared" ref="F21:J22" si="0">(F11+F16)/2</f>
        <v>8.5</v>
      </c>
      <c r="G21" s="239">
        <f t="shared" si="0"/>
        <v>9</v>
      </c>
      <c r="H21" s="242">
        <f t="shared" si="0"/>
        <v>71.5</v>
      </c>
      <c r="I21" s="242">
        <f t="shared" si="0"/>
        <v>194.5</v>
      </c>
      <c r="J21" s="242">
        <f>(J11+J16)/2</f>
        <v>673.2</v>
      </c>
      <c r="K21" s="239">
        <v>7</v>
      </c>
      <c r="L21" s="243">
        <f>(L11+L16)/2</f>
        <v>11.675000000000001</v>
      </c>
      <c r="M21" s="239">
        <v>4</v>
      </c>
      <c r="N21" s="243">
        <f>(N11+N16)/2</f>
        <v>49.204999999999998</v>
      </c>
      <c r="O21" s="242">
        <v>8</v>
      </c>
      <c r="P21" s="243">
        <f>(P11+P16)/2</f>
        <v>60.795000000000002</v>
      </c>
      <c r="Q21" s="239">
        <v>5</v>
      </c>
      <c r="R21" s="244">
        <f>SUM(E21+F21+K21+M21+O21+Q21)</f>
        <v>42.5</v>
      </c>
    </row>
    <row r="22" spans="1:18" x14ac:dyDescent="0.25">
      <c r="A22" s="4">
        <v>2</v>
      </c>
      <c r="B22" s="3" t="s">
        <v>305</v>
      </c>
      <c r="C22" s="19">
        <f>(C12+C17)/2</f>
        <v>6.09</v>
      </c>
      <c r="D22" s="2">
        <f>(C22*D21)/C$21</f>
        <v>88.260869565217391</v>
      </c>
      <c r="E22" s="4">
        <v>8</v>
      </c>
      <c r="F22" s="4">
        <f t="shared" si="0"/>
        <v>9</v>
      </c>
      <c r="G22" s="4">
        <f t="shared" si="0"/>
        <v>9</v>
      </c>
      <c r="H22" s="2">
        <f t="shared" si="0"/>
        <v>69.5</v>
      </c>
      <c r="I22" s="2">
        <f t="shared" si="0"/>
        <v>193</v>
      </c>
      <c r="J22" s="2">
        <f t="shared" si="0"/>
        <v>654.6</v>
      </c>
      <c r="K22" s="4">
        <v>7</v>
      </c>
      <c r="L22" s="1">
        <f>(L12+L17)/2</f>
        <v>11.875</v>
      </c>
      <c r="M22" s="4">
        <v>4</v>
      </c>
      <c r="N22" s="1">
        <f>(N12+N17)/2</f>
        <v>49.67</v>
      </c>
      <c r="O22" s="2">
        <v>8</v>
      </c>
      <c r="P22" s="1">
        <f>(P12+P17)/2</f>
        <v>60.41</v>
      </c>
      <c r="Q22" s="4">
        <v>5</v>
      </c>
      <c r="R22" s="23">
        <f>SUM(E22+F22+K22+M22+O22+Q22)</f>
        <v>41</v>
      </c>
    </row>
    <row r="23" spans="1:18" x14ac:dyDescent="0.25">
      <c r="A23" s="4">
        <v>3</v>
      </c>
      <c r="B23" s="3" t="s">
        <v>306</v>
      </c>
      <c r="C23" s="19">
        <f>(C12+C18)/2</f>
        <v>5.7</v>
      </c>
      <c r="D23" s="2">
        <f>(C23*D21)/C$21</f>
        <v>82.608695652173907</v>
      </c>
      <c r="E23" s="4">
        <v>6</v>
      </c>
      <c r="F23" s="4">
        <f>(F12+F18)/2</f>
        <v>9</v>
      </c>
      <c r="G23" s="2">
        <f>(G12+G18)/2</f>
        <v>9</v>
      </c>
      <c r="H23" s="2">
        <f>(H12+H18)/2</f>
        <v>65</v>
      </c>
      <c r="I23" s="2">
        <f>(I12+I18)/2</f>
        <v>193</v>
      </c>
      <c r="J23" s="2">
        <f>(J12+J18)/2</f>
        <v>656.65</v>
      </c>
      <c r="K23" s="4">
        <v>7</v>
      </c>
      <c r="L23" s="1">
        <f>(L12+L18)/2</f>
        <v>12.135</v>
      </c>
      <c r="M23" s="4">
        <v>5</v>
      </c>
      <c r="N23" s="1">
        <f>(N12+N18)/2</f>
        <v>50.07</v>
      </c>
      <c r="O23" s="2">
        <v>9</v>
      </c>
      <c r="P23" s="1">
        <f>(P12+P18)/2</f>
        <v>60.615000000000002</v>
      </c>
      <c r="Q23" s="4">
        <v>5</v>
      </c>
      <c r="R23" s="23">
        <f>SUM(E23+F23+K23+M23+O23+Q23)</f>
        <v>41</v>
      </c>
    </row>
    <row r="25" spans="1:18" x14ac:dyDescent="0.25">
      <c r="B25" s="367" t="s">
        <v>104</v>
      </c>
      <c r="C25" s="367"/>
      <c r="D25" s="367"/>
      <c r="E25" s="367"/>
      <c r="F25" s="367"/>
      <c r="G25" s="385"/>
      <c r="H25" s="385"/>
    </row>
    <row r="26" spans="1:18" x14ac:dyDescent="0.25">
      <c r="B26" s="123" t="s">
        <v>307</v>
      </c>
      <c r="C26" s="386" t="s">
        <v>134</v>
      </c>
      <c r="D26" s="386"/>
      <c r="E26" s="386" t="s">
        <v>145</v>
      </c>
      <c r="F26" s="386"/>
      <c r="G26" s="381"/>
      <c r="H26" s="381"/>
    </row>
    <row r="27" spans="1:18" x14ac:dyDescent="0.25">
      <c r="B27" s="124" t="s">
        <v>106</v>
      </c>
      <c r="C27" s="359"/>
      <c r="D27" s="359"/>
      <c r="E27" s="359"/>
      <c r="F27" s="359"/>
      <c r="G27" s="155"/>
      <c r="H27" s="155"/>
    </row>
    <row r="28" spans="1:18" s="87" customFormat="1" x14ac:dyDescent="0.25">
      <c r="B28" s="124" t="s">
        <v>156</v>
      </c>
      <c r="C28" s="378" t="s">
        <v>308</v>
      </c>
      <c r="D28" s="378"/>
      <c r="E28" s="379" t="s">
        <v>320</v>
      </c>
      <c r="F28" s="379"/>
      <c r="G28" s="151"/>
      <c r="H28" s="151"/>
    </row>
    <row r="29" spans="1:18" s="87" customFormat="1" x14ac:dyDescent="0.25">
      <c r="B29" s="124" t="s">
        <v>119</v>
      </c>
      <c r="C29" s="363" t="s">
        <v>173</v>
      </c>
      <c r="D29" s="357"/>
      <c r="E29" s="356" t="s">
        <v>228</v>
      </c>
      <c r="F29" s="362"/>
      <c r="G29" s="151"/>
      <c r="H29" s="151"/>
    </row>
    <row r="30" spans="1:18" x14ac:dyDescent="0.25">
      <c r="B30" s="124" t="s">
        <v>107</v>
      </c>
      <c r="C30" s="363">
        <v>2.1</v>
      </c>
      <c r="D30" s="364"/>
      <c r="E30" s="361">
        <v>1.8</v>
      </c>
      <c r="F30" s="362"/>
      <c r="G30" s="380"/>
      <c r="H30" s="381"/>
    </row>
    <row r="31" spans="1:18" x14ac:dyDescent="0.25">
      <c r="B31" s="124" t="s">
        <v>108</v>
      </c>
      <c r="C31" s="363">
        <v>6.9</v>
      </c>
      <c r="D31" s="364"/>
      <c r="E31" s="361">
        <v>5.6</v>
      </c>
      <c r="F31" s="362"/>
      <c r="G31" s="380"/>
      <c r="H31" s="381"/>
    </row>
    <row r="32" spans="1:18" x14ac:dyDescent="0.25">
      <c r="B32" s="124" t="s">
        <v>109</v>
      </c>
      <c r="C32" s="363">
        <v>179</v>
      </c>
      <c r="D32" s="364"/>
      <c r="E32" s="361">
        <v>192</v>
      </c>
      <c r="F32" s="362"/>
      <c r="G32" s="380"/>
      <c r="H32" s="381"/>
    </row>
    <row r="33" spans="2:8" x14ac:dyDescent="0.25">
      <c r="B33" s="124" t="s">
        <v>110</v>
      </c>
      <c r="C33" s="363">
        <v>253</v>
      </c>
      <c r="D33" s="364"/>
      <c r="E33" s="361">
        <v>162</v>
      </c>
      <c r="F33" s="362"/>
      <c r="G33" s="380"/>
      <c r="H33" s="381"/>
    </row>
    <row r="34" spans="2:8" x14ac:dyDescent="0.25">
      <c r="B34" s="124" t="s">
        <v>140</v>
      </c>
      <c r="C34" s="382" t="s">
        <v>174</v>
      </c>
      <c r="D34" s="383"/>
      <c r="E34" s="356" t="s">
        <v>266</v>
      </c>
      <c r="F34" s="362"/>
      <c r="G34" s="381"/>
      <c r="H34" s="381"/>
    </row>
    <row r="35" spans="2:8" s="298" customFormat="1" x14ac:dyDescent="0.25">
      <c r="B35" s="124" t="s">
        <v>680</v>
      </c>
      <c r="C35" s="382" t="s">
        <v>684</v>
      </c>
      <c r="D35" s="383"/>
      <c r="E35" s="383"/>
      <c r="F35" s="384"/>
      <c r="G35" s="346"/>
      <c r="H35" s="346"/>
    </row>
    <row r="36" spans="2:8" x14ac:dyDescent="0.25">
      <c r="B36" s="124" t="s">
        <v>111</v>
      </c>
      <c r="C36" s="353" t="s">
        <v>309</v>
      </c>
      <c r="D36" s="353"/>
      <c r="E36" s="358" t="s">
        <v>321</v>
      </c>
      <c r="F36" s="358"/>
      <c r="G36" s="380"/>
      <c r="H36" s="381"/>
    </row>
    <row r="37" spans="2:8" x14ac:dyDescent="0.25">
      <c r="B37" s="123" t="s">
        <v>142</v>
      </c>
      <c r="C37" s="357" t="s">
        <v>310</v>
      </c>
      <c r="D37" s="364"/>
      <c r="E37" s="377" t="s">
        <v>322</v>
      </c>
      <c r="F37" s="358"/>
      <c r="G37" s="380"/>
      <c r="H37" s="381"/>
    </row>
    <row r="38" spans="2:8" x14ac:dyDescent="0.25">
      <c r="B38" s="123" t="s">
        <v>143</v>
      </c>
      <c r="C38" s="357" t="s">
        <v>311</v>
      </c>
      <c r="D38" s="364"/>
      <c r="E38" s="358" t="s">
        <v>323</v>
      </c>
      <c r="F38" s="358"/>
      <c r="G38" s="380"/>
      <c r="H38" s="381"/>
    </row>
    <row r="39" spans="2:8" x14ac:dyDescent="0.25">
      <c r="B39" s="123" t="s">
        <v>112</v>
      </c>
      <c r="C39" s="357" t="s">
        <v>312</v>
      </c>
      <c r="D39" s="364"/>
      <c r="E39" s="358" t="s">
        <v>324</v>
      </c>
      <c r="F39" s="358"/>
      <c r="G39" s="380"/>
      <c r="H39" s="381"/>
    </row>
    <row r="40" spans="2:8" x14ac:dyDescent="0.25">
      <c r="B40" s="124" t="s">
        <v>113</v>
      </c>
      <c r="C40" s="368"/>
      <c r="D40" s="370"/>
      <c r="E40" s="375"/>
      <c r="F40" s="376"/>
      <c r="G40" s="154"/>
      <c r="H40" s="155"/>
    </row>
    <row r="41" spans="2:8" x14ac:dyDescent="0.25">
      <c r="B41" s="124" t="s">
        <v>114</v>
      </c>
      <c r="C41" s="125" t="s">
        <v>313</v>
      </c>
      <c r="D41" s="199" t="s">
        <v>314</v>
      </c>
      <c r="E41" s="211" t="s">
        <v>321</v>
      </c>
      <c r="F41" s="309" t="s">
        <v>155</v>
      </c>
      <c r="G41" s="131"/>
      <c r="H41" s="150"/>
    </row>
    <row r="42" spans="2:8" x14ac:dyDescent="0.25">
      <c r="B42" s="124" t="s">
        <v>138</v>
      </c>
      <c r="C42" s="124"/>
      <c r="D42" s="199">
        <v>187</v>
      </c>
      <c r="E42" s="211" t="s">
        <v>323</v>
      </c>
      <c r="F42" s="309" t="s">
        <v>578</v>
      </c>
      <c r="G42" s="131"/>
      <c r="H42" s="150"/>
    </row>
    <row r="43" spans="2:8" x14ac:dyDescent="0.25">
      <c r="B43" s="124"/>
      <c r="C43" s="124"/>
      <c r="D43" s="199"/>
      <c r="E43" s="211" t="s">
        <v>515</v>
      </c>
      <c r="F43" s="309" t="s">
        <v>579</v>
      </c>
      <c r="G43" s="131"/>
      <c r="H43" s="150"/>
    </row>
    <row r="44" spans="2:8" x14ac:dyDescent="0.25">
      <c r="B44" s="124"/>
      <c r="C44" s="124"/>
      <c r="D44" s="146"/>
      <c r="E44" s="201"/>
      <c r="F44" s="176"/>
      <c r="G44" s="152"/>
      <c r="H44" s="153"/>
    </row>
    <row r="45" spans="2:8" x14ac:dyDescent="0.25">
      <c r="B45" s="124" t="s">
        <v>115</v>
      </c>
      <c r="C45" s="125"/>
      <c r="D45" s="125"/>
      <c r="E45" s="202"/>
      <c r="F45" s="202"/>
      <c r="G45" s="135"/>
      <c r="H45" s="136"/>
    </row>
    <row r="46" spans="2:8" x14ac:dyDescent="0.25">
      <c r="B46" s="124" t="s">
        <v>116</v>
      </c>
      <c r="C46" s="124" t="s">
        <v>315</v>
      </c>
      <c r="D46" s="124" t="s">
        <v>146</v>
      </c>
      <c r="E46" s="211" t="s">
        <v>580</v>
      </c>
      <c r="F46" s="211" t="s">
        <v>175</v>
      </c>
      <c r="G46" s="131"/>
      <c r="H46" s="133"/>
    </row>
    <row r="47" spans="2:8" x14ac:dyDescent="0.25">
      <c r="B47" s="127"/>
      <c r="C47" s="124"/>
      <c r="D47" s="124" t="s">
        <v>160</v>
      </c>
      <c r="E47" s="211"/>
      <c r="F47" s="211" t="s">
        <v>267</v>
      </c>
      <c r="G47" s="131"/>
      <c r="H47" s="133"/>
    </row>
    <row r="48" spans="2:8" s="87" customFormat="1" x14ac:dyDescent="0.25">
      <c r="B48" s="127"/>
      <c r="C48" s="124"/>
      <c r="D48" s="124"/>
      <c r="E48" s="211" t="s">
        <v>513</v>
      </c>
      <c r="F48" s="211" t="s">
        <v>395</v>
      </c>
      <c r="G48" s="131"/>
      <c r="H48" s="133"/>
    </row>
    <row r="49" spans="2:8" s="87" customFormat="1" x14ac:dyDescent="0.25">
      <c r="B49" s="127"/>
      <c r="C49" s="124"/>
      <c r="D49" s="124"/>
      <c r="E49" s="211"/>
      <c r="F49" s="211" t="s">
        <v>581</v>
      </c>
      <c r="G49" s="131"/>
      <c r="H49" s="133"/>
    </row>
    <row r="50" spans="2:8" s="87" customFormat="1" x14ac:dyDescent="0.25">
      <c r="B50" s="124" t="s">
        <v>187</v>
      </c>
      <c r="C50" s="124"/>
      <c r="D50" s="124"/>
      <c r="E50" s="211" t="s">
        <v>572</v>
      </c>
      <c r="F50" s="211" t="s">
        <v>582</v>
      </c>
      <c r="G50" s="131"/>
      <c r="H50" s="133"/>
    </row>
    <row r="51" spans="2:8" x14ac:dyDescent="0.25">
      <c r="B51" s="124" t="s">
        <v>147</v>
      </c>
      <c r="C51" s="124" t="s">
        <v>315</v>
      </c>
      <c r="D51" s="124" t="s">
        <v>154</v>
      </c>
      <c r="E51" s="211" t="s">
        <v>513</v>
      </c>
      <c r="F51" s="211" t="s">
        <v>583</v>
      </c>
      <c r="G51" s="131"/>
      <c r="H51" s="133"/>
    </row>
    <row r="52" spans="2:8" x14ac:dyDescent="0.25">
      <c r="B52" s="127"/>
      <c r="C52" s="124"/>
      <c r="D52" s="124"/>
      <c r="E52" s="211" t="s">
        <v>394</v>
      </c>
      <c r="F52" s="211" t="s">
        <v>584</v>
      </c>
      <c r="G52" s="131"/>
      <c r="H52" s="133"/>
    </row>
    <row r="53" spans="2:8" x14ac:dyDescent="0.25">
      <c r="B53" s="124" t="s">
        <v>123</v>
      </c>
      <c r="C53" s="124" t="s">
        <v>316</v>
      </c>
      <c r="D53" s="124" t="s">
        <v>317</v>
      </c>
      <c r="E53" s="211" t="s">
        <v>394</v>
      </c>
      <c r="F53" s="211" t="s">
        <v>585</v>
      </c>
      <c r="G53" s="131"/>
      <c r="H53" s="133"/>
    </row>
    <row r="54" spans="2:8" x14ac:dyDescent="0.25">
      <c r="B54" s="124"/>
      <c r="C54" s="124"/>
      <c r="D54" s="124"/>
      <c r="E54" s="211" t="s">
        <v>572</v>
      </c>
      <c r="F54" s="211" t="s">
        <v>586</v>
      </c>
      <c r="G54" s="131"/>
      <c r="H54" s="133"/>
    </row>
    <row r="55" spans="2:8" x14ac:dyDescent="0.25">
      <c r="B55" s="124" t="s">
        <v>144</v>
      </c>
      <c r="C55" s="113" t="s">
        <v>315</v>
      </c>
      <c r="D55" s="113" t="s">
        <v>319</v>
      </c>
      <c r="E55" s="113"/>
      <c r="F55" s="113"/>
    </row>
    <row r="56" spans="2:8" x14ac:dyDescent="0.25">
      <c r="C56" s="296" t="s">
        <v>316</v>
      </c>
      <c r="D56" s="296" t="s">
        <v>318</v>
      </c>
    </row>
  </sheetData>
  <mergeCells count="48">
    <mergeCell ref="R7:R8"/>
    <mergeCell ref="A7:A8"/>
    <mergeCell ref="B7:B8"/>
    <mergeCell ref="C7:E7"/>
    <mergeCell ref="J7:K7"/>
    <mergeCell ref="L7:M7"/>
    <mergeCell ref="N7:O7"/>
    <mergeCell ref="B25:H25"/>
    <mergeCell ref="C26:D26"/>
    <mergeCell ref="E26:F26"/>
    <mergeCell ref="G26:H26"/>
    <mergeCell ref="P7:Q7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C36:D36"/>
    <mergeCell ref="E36:F36"/>
    <mergeCell ref="G36:H36"/>
    <mergeCell ref="C35:F35"/>
    <mergeCell ref="G37:H37"/>
    <mergeCell ref="E38:F38"/>
    <mergeCell ref="G38:H38"/>
    <mergeCell ref="E39:F39"/>
    <mergeCell ref="G39:H39"/>
    <mergeCell ref="C28:D28"/>
    <mergeCell ref="E28:F28"/>
    <mergeCell ref="C29:D29"/>
    <mergeCell ref="E29:F29"/>
    <mergeCell ref="C27:D27"/>
    <mergeCell ref="E27:F27"/>
    <mergeCell ref="C37:D37"/>
    <mergeCell ref="C38:D38"/>
    <mergeCell ref="C39:D39"/>
    <mergeCell ref="C40:D40"/>
    <mergeCell ref="E40:F40"/>
    <mergeCell ref="E37:F3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83"/>
  <sheetViews>
    <sheetView topLeftCell="A16" workbookViewId="0">
      <selection activeCell="H4" sqref="H4"/>
    </sheetView>
  </sheetViews>
  <sheetFormatPr defaultRowHeight="15" x14ac:dyDescent="0.25"/>
  <cols>
    <col min="1" max="1" width="4.28515625" customWidth="1"/>
    <col min="2" max="2" width="30.140625" customWidth="1"/>
    <col min="3" max="3" width="13.140625" customWidth="1"/>
    <col min="4" max="4" width="23.42578125" customWidth="1"/>
    <col min="5" max="5" width="13.28515625" customWidth="1"/>
    <col min="6" max="6" width="27.28515625" customWidth="1"/>
    <col min="7" max="7" width="11.5703125" customWidth="1"/>
    <col min="8" max="8" width="24.42578125" customWidth="1"/>
    <col min="17" max="18" width="8.85546875" style="87"/>
    <col min="21" max="21" width="10.140625" customWidth="1"/>
  </cols>
  <sheetData>
    <row r="2" spans="1:21" x14ac:dyDescent="0.25">
      <c r="B2" s="25" t="s">
        <v>326</v>
      </c>
    </row>
    <row r="3" spans="1:21" x14ac:dyDescent="0.25">
      <c r="B3" s="24" t="s">
        <v>327</v>
      </c>
    </row>
    <row r="5" spans="1:21" ht="15.75" x14ac:dyDescent="0.25">
      <c r="A5" s="32" t="s">
        <v>37</v>
      </c>
    </row>
    <row r="7" spans="1:21" ht="76.5" x14ac:dyDescent="0.25">
      <c r="A7" s="372" t="s">
        <v>1</v>
      </c>
      <c r="B7" s="372" t="s">
        <v>2</v>
      </c>
      <c r="C7" s="372" t="s">
        <v>27</v>
      </c>
      <c r="D7" s="372"/>
      <c r="E7" s="372"/>
      <c r="F7" s="321" t="s">
        <v>4</v>
      </c>
      <c r="G7" s="102" t="s">
        <v>5</v>
      </c>
      <c r="H7" s="102" t="s">
        <v>28</v>
      </c>
      <c r="I7" s="102" t="s">
        <v>7</v>
      </c>
      <c r="J7" s="372" t="s">
        <v>29</v>
      </c>
      <c r="K7" s="372"/>
      <c r="L7" s="372" t="s">
        <v>9</v>
      </c>
      <c r="M7" s="372"/>
      <c r="N7" s="372" t="s">
        <v>10</v>
      </c>
      <c r="O7" s="372"/>
      <c r="P7" s="324" t="s">
        <v>11</v>
      </c>
      <c r="Q7" s="159" t="s">
        <v>180</v>
      </c>
      <c r="R7" s="159" t="s">
        <v>112</v>
      </c>
      <c r="S7" s="387" t="s">
        <v>12</v>
      </c>
      <c r="T7" s="387"/>
      <c r="U7" s="388" t="s">
        <v>13</v>
      </c>
    </row>
    <row r="8" spans="1:21" ht="25.5" x14ac:dyDescent="0.25">
      <c r="A8" s="372"/>
      <c r="B8" s="372"/>
      <c r="C8" s="35" t="s">
        <v>14</v>
      </c>
      <c r="D8" s="321" t="s">
        <v>15</v>
      </c>
      <c r="E8" s="321" t="s">
        <v>16</v>
      </c>
      <c r="F8" s="321" t="s">
        <v>31</v>
      </c>
      <c r="G8" s="321" t="s">
        <v>16</v>
      </c>
      <c r="H8" s="35" t="s">
        <v>18</v>
      </c>
      <c r="I8" s="321" t="s">
        <v>19</v>
      </c>
      <c r="J8" s="35" t="s">
        <v>20</v>
      </c>
      <c r="K8" s="321" t="s">
        <v>16</v>
      </c>
      <c r="L8" s="35" t="s">
        <v>21</v>
      </c>
      <c r="M8" s="104" t="s">
        <v>16</v>
      </c>
      <c r="N8" s="36" t="s">
        <v>22</v>
      </c>
      <c r="O8" s="104" t="s">
        <v>16</v>
      </c>
      <c r="P8" s="324" t="s">
        <v>23</v>
      </c>
      <c r="Q8" s="159" t="s">
        <v>296</v>
      </c>
      <c r="R8" s="159" t="s">
        <v>297</v>
      </c>
      <c r="S8" s="35" t="s">
        <v>21</v>
      </c>
      <c r="T8" s="324" t="s">
        <v>16</v>
      </c>
      <c r="U8" s="388"/>
    </row>
    <row r="9" spans="1:2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7"/>
      <c r="N9" s="37"/>
      <c r="O9" s="37"/>
      <c r="P9" s="33"/>
      <c r="Q9" s="101"/>
      <c r="R9" s="101"/>
      <c r="S9" s="33"/>
      <c r="T9" s="33"/>
      <c r="U9" s="38"/>
    </row>
    <row r="10" spans="1:21" x14ac:dyDescent="0.25">
      <c r="A10" s="111" t="s">
        <v>290</v>
      </c>
    </row>
    <row r="11" spans="1:21" x14ac:dyDescent="0.25">
      <c r="A11" s="116">
        <v>1</v>
      </c>
      <c r="B11" s="246" t="s">
        <v>328</v>
      </c>
      <c r="C11" s="247">
        <v>10.46</v>
      </c>
      <c r="D11" s="247">
        <v>100</v>
      </c>
      <c r="E11" s="247">
        <v>10</v>
      </c>
      <c r="F11" s="247">
        <v>9</v>
      </c>
      <c r="G11" s="247">
        <v>9</v>
      </c>
      <c r="H11" s="247">
        <v>106</v>
      </c>
      <c r="I11" s="247">
        <v>183</v>
      </c>
      <c r="J11" s="247">
        <v>812</v>
      </c>
      <c r="K11" s="247">
        <v>9</v>
      </c>
      <c r="L11" s="250">
        <v>10.24</v>
      </c>
      <c r="M11" s="247">
        <v>4</v>
      </c>
      <c r="N11" s="247">
        <v>40.9</v>
      </c>
      <c r="O11" s="247">
        <v>6</v>
      </c>
      <c r="P11" s="247">
        <v>275</v>
      </c>
      <c r="Q11" s="247" t="s">
        <v>335</v>
      </c>
      <c r="R11" s="247" t="s">
        <v>336</v>
      </c>
      <c r="S11" s="250">
        <v>61.23</v>
      </c>
      <c r="T11" s="247">
        <v>3</v>
      </c>
      <c r="U11" s="248">
        <f>SUM(E11+F11+K11+M11+O11+T11)</f>
        <v>41</v>
      </c>
    </row>
    <row r="12" spans="1:21" x14ac:dyDescent="0.25">
      <c r="A12" s="40">
        <v>2</v>
      </c>
      <c r="B12" s="39" t="s">
        <v>329</v>
      </c>
      <c r="C12" s="41">
        <v>10.210000000000001</v>
      </c>
      <c r="D12" s="42">
        <f>(C12*D$11)/C$11</f>
        <v>97.609942638623323</v>
      </c>
      <c r="E12" s="41">
        <v>10</v>
      </c>
      <c r="F12" s="41">
        <v>9</v>
      </c>
      <c r="G12" s="41">
        <v>9</v>
      </c>
      <c r="H12" s="41">
        <v>106</v>
      </c>
      <c r="I12" s="41">
        <v>183</v>
      </c>
      <c r="J12" s="295">
        <v>806</v>
      </c>
      <c r="K12" s="41">
        <v>9</v>
      </c>
      <c r="L12" s="187">
        <v>10.51</v>
      </c>
      <c r="M12" s="41">
        <v>4</v>
      </c>
      <c r="N12" s="41">
        <v>41.3</v>
      </c>
      <c r="O12" s="41">
        <v>7</v>
      </c>
      <c r="P12" s="190">
        <v>283</v>
      </c>
      <c r="Q12" s="160" t="s">
        <v>335</v>
      </c>
      <c r="R12" s="160" t="s">
        <v>336</v>
      </c>
      <c r="S12" s="187">
        <v>61.27</v>
      </c>
      <c r="T12" s="41">
        <v>3</v>
      </c>
      <c r="U12" s="43">
        <f>SUM(E12+F12+K12+M12+O12+T12)</f>
        <v>42</v>
      </c>
    </row>
    <row r="13" spans="1:21" x14ac:dyDescent="0.25">
      <c r="A13" s="40">
        <v>3</v>
      </c>
      <c r="B13" s="39" t="s">
        <v>330</v>
      </c>
      <c r="C13" s="41">
        <v>10.31</v>
      </c>
      <c r="D13" s="186">
        <f t="shared" ref="D13:D17" si="0">(C13*D$11)/C$11</f>
        <v>98.565965583173991</v>
      </c>
      <c r="E13" s="41">
        <v>10</v>
      </c>
      <c r="F13" s="41">
        <v>9</v>
      </c>
      <c r="G13" s="41">
        <v>9</v>
      </c>
      <c r="H13" s="41">
        <v>103</v>
      </c>
      <c r="I13" s="185">
        <v>183</v>
      </c>
      <c r="J13" s="295">
        <v>811</v>
      </c>
      <c r="K13" s="41">
        <v>9</v>
      </c>
      <c r="L13" s="187">
        <v>10.71</v>
      </c>
      <c r="M13" s="41">
        <v>4</v>
      </c>
      <c r="N13" s="41">
        <v>39.6</v>
      </c>
      <c r="O13" s="41">
        <v>6</v>
      </c>
      <c r="P13" s="190">
        <v>270</v>
      </c>
      <c r="Q13" s="291" t="s">
        <v>335</v>
      </c>
      <c r="R13" s="291" t="s">
        <v>336</v>
      </c>
      <c r="S13" s="187">
        <v>60.78</v>
      </c>
      <c r="T13" s="41">
        <v>2</v>
      </c>
      <c r="U13" s="43">
        <f>SUM(E13+F13+K13+M13+O13+T13)</f>
        <v>40</v>
      </c>
    </row>
    <row r="14" spans="1:21" s="87" customFormat="1" x14ac:dyDescent="0.25">
      <c r="A14" s="40">
        <v>4</v>
      </c>
      <c r="B14" s="39" t="s">
        <v>331</v>
      </c>
      <c r="C14" s="291">
        <v>9.9499999999999993</v>
      </c>
      <c r="D14" s="186">
        <f t="shared" si="0"/>
        <v>95.12428298279157</v>
      </c>
      <c r="E14" s="291">
        <v>8</v>
      </c>
      <c r="F14" s="291">
        <v>9</v>
      </c>
      <c r="G14" s="291">
        <v>9</v>
      </c>
      <c r="H14" s="291">
        <v>107</v>
      </c>
      <c r="I14" s="291">
        <v>183</v>
      </c>
      <c r="J14" s="295">
        <v>808</v>
      </c>
      <c r="K14" s="291">
        <v>9</v>
      </c>
      <c r="L14" s="187">
        <v>10.29</v>
      </c>
      <c r="M14" s="291">
        <v>4</v>
      </c>
      <c r="N14" s="291">
        <v>41.4</v>
      </c>
      <c r="O14" s="291">
        <v>7</v>
      </c>
      <c r="P14" s="190">
        <v>287</v>
      </c>
      <c r="Q14" s="291" t="s">
        <v>335</v>
      </c>
      <c r="R14" s="291" t="s">
        <v>336</v>
      </c>
      <c r="S14" s="187">
        <v>61.16</v>
      </c>
      <c r="T14" s="291">
        <v>3</v>
      </c>
      <c r="U14" s="43">
        <f t="shared" ref="U14:U16" si="1">SUM(E14+F14+K14+M14+O14+T14)</f>
        <v>40</v>
      </c>
    </row>
    <row r="15" spans="1:21" s="87" customFormat="1" x14ac:dyDescent="0.25">
      <c r="A15" s="40">
        <v>5</v>
      </c>
      <c r="B15" s="39" t="s">
        <v>332</v>
      </c>
      <c r="C15" s="291">
        <v>11.17</v>
      </c>
      <c r="D15" s="186">
        <f t="shared" si="0"/>
        <v>106.78776290630974</v>
      </c>
      <c r="E15" s="291">
        <v>12</v>
      </c>
      <c r="F15" s="291">
        <v>9</v>
      </c>
      <c r="G15" s="291">
        <v>9</v>
      </c>
      <c r="H15" s="291">
        <v>107</v>
      </c>
      <c r="I15" s="291">
        <v>183</v>
      </c>
      <c r="J15" s="295">
        <v>809</v>
      </c>
      <c r="K15" s="291">
        <v>9</v>
      </c>
      <c r="L15" s="187">
        <v>10.32</v>
      </c>
      <c r="M15" s="291">
        <v>4</v>
      </c>
      <c r="N15" s="291">
        <v>44.8</v>
      </c>
      <c r="O15" s="291">
        <v>8</v>
      </c>
      <c r="P15" s="190">
        <v>297</v>
      </c>
      <c r="Q15" s="291" t="s">
        <v>335</v>
      </c>
      <c r="R15" s="291" t="s">
        <v>336</v>
      </c>
      <c r="S15" s="187">
        <v>61.18</v>
      </c>
      <c r="T15" s="291">
        <v>3</v>
      </c>
      <c r="U15" s="43">
        <f t="shared" si="1"/>
        <v>45</v>
      </c>
    </row>
    <row r="16" spans="1:21" s="87" customFormat="1" x14ac:dyDescent="0.25">
      <c r="A16" s="40">
        <v>6</v>
      </c>
      <c r="B16" s="39" t="s">
        <v>333</v>
      </c>
      <c r="C16" s="291">
        <v>9.86</v>
      </c>
      <c r="D16" s="186">
        <f t="shared" si="0"/>
        <v>94.263862332695979</v>
      </c>
      <c r="E16" s="291">
        <v>8</v>
      </c>
      <c r="F16" s="291">
        <v>9</v>
      </c>
      <c r="G16" s="291">
        <v>9</v>
      </c>
      <c r="H16" s="291">
        <v>105</v>
      </c>
      <c r="I16" s="291">
        <v>183</v>
      </c>
      <c r="J16" s="295">
        <v>806</v>
      </c>
      <c r="K16" s="291">
        <v>9</v>
      </c>
      <c r="L16" s="187">
        <v>10.91</v>
      </c>
      <c r="M16" s="291">
        <v>4</v>
      </c>
      <c r="N16" s="291">
        <v>39.9</v>
      </c>
      <c r="O16" s="291">
        <v>6</v>
      </c>
      <c r="P16" s="190">
        <v>305</v>
      </c>
      <c r="Q16" s="291" t="s">
        <v>335</v>
      </c>
      <c r="R16" s="291" t="s">
        <v>336</v>
      </c>
      <c r="S16" s="187">
        <v>61.36</v>
      </c>
      <c r="T16" s="291">
        <v>3</v>
      </c>
      <c r="U16" s="43">
        <f t="shared" si="1"/>
        <v>39</v>
      </c>
    </row>
    <row r="17" spans="1:21" x14ac:dyDescent="0.25">
      <c r="A17" s="40">
        <v>7</v>
      </c>
      <c r="B17" s="39" t="s">
        <v>334</v>
      </c>
      <c r="C17" s="41">
        <v>10.75</v>
      </c>
      <c r="D17" s="186">
        <f t="shared" si="0"/>
        <v>102.77246653919693</v>
      </c>
      <c r="E17" s="41">
        <v>10</v>
      </c>
      <c r="F17" s="291">
        <v>9</v>
      </c>
      <c r="G17" s="41">
        <v>9</v>
      </c>
      <c r="H17" s="41">
        <v>102</v>
      </c>
      <c r="I17" s="185">
        <v>183</v>
      </c>
      <c r="J17" s="295">
        <v>806</v>
      </c>
      <c r="K17" s="41">
        <v>9</v>
      </c>
      <c r="L17" s="187">
        <v>10.61</v>
      </c>
      <c r="M17" s="41">
        <v>4</v>
      </c>
      <c r="N17" s="41">
        <v>40.4</v>
      </c>
      <c r="O17" s="41">
        <v>6</v>
      </c>
      <c r="P17" s="190">
        <v>278</v>
      </c>
      <c r="Q17" s="291" t="s">
        <v>335</v>
      </c>
      <c r="R17" s="291" t="s">
        <v>336</v>
      </c>
      <c r="S17" s="187">
        <v>61.18</v>
      </c>
      <c r="T17" s="41">
        <v>3</v>
      </c>
      <c r="U17" s="43">
        <f>SUM(E17+F17+K17+M17+O17+T17)</f>
        <v>41</v>
      </c>
    </row>
    <row r="19" spans="1:21" x14ac:dyDescent="0.25">
      <c r="A19" s="111" t="s">
        <v>291</v>
      </c>
    </row>
    <row r="20" spans="1:21" x14ac:dyDescent="0.25">
      <c r="A20" s="116">
        <v>1</v>
      </c>
      <c r="B20" s="246" t="s">
        <v>328</v>
      </c>
      <c r="C20" s="249">
        <v>8.89</v>
      </c>
      <c r="D20" s="247">
        <v>100</v>
      </c>
      <c r="E20" s="247">
        <v>10</v>
      </c>
      <c r="F20" s="247">
        <v>9</v>
      </c>
      <c r="G20" s="247">
        <v>9</v>
      </c>
      <c r="H20" s="247">
        <v>89</v>
      </c>
      <c r="I20" s="247">
        <v>212</v>
      </c>
      <c r="J20" s="247">
        <v>783</v>
      </c>
      <c r="K20" s="247">
        <v>9</v>
      </c>
      <c r="L20" s="250">
        <v>10.15</v>
      </c>
      <c r="M20" s="247">
        <v>4</v>
      </c>
      <c r="N20" s="247">
        <v>41.8</v>
      </c>
      <c r="O20" s="247">
        <v>7</v>
      </c>
      <c r="P20" s="247">
        <v>210</v>
      </c>
      <c r="Q20" s="247" t="s">
        <v>343</v>
      </c>
      <c r="R20" s="247" t="s">
        <v>343</v>
      </c>
      <c r="S20" s="250">
        <v>60.68</v>
      </c>
      <c r="T20" s="247">
        <v>2</v>
      </c>
      <c r="U20" s="248">
        <f>SUM(E20+F20+K20+M20+O20+T20)</f>
        <v>41</v>
      </c>
    </row>
    <row r="21" spans="1:21" x14ac:dyDescent="0.25">
      <c r="A21" s="40">
        <v>2</v>
      </c>
      <c r="B21" s="39" t="s">
        <v>329</v>
      </c>
      <c r="C21" s="44">
        <v>9.01</v>
      </c>
      <c r="D21" s="42">
        <f>(C21*D$20)/C$20</f>
        <v>101.34983127109111</v>
      </c>
      <c r="E21" s="41">
        <v>10</v>
      </c>
      <c r="F21" s="41">
        <v>9</v>
      </c>
      <c r="G21" s="41">
        <v>9</v>
      </c>
      <c r="H21" s="41">
        <v>93</v>
      </c>
      <c r="I21" s="41">
        <v>212</v>
      </c>
      <c r="J21" s="295">
        <v>787</v>
      </c>
      <c r="K21" s="41">
        <v>9</v>
      </c>
      <c r="L21" s="187">
        <v>9.9</v>
      </c>
      <c r="M21" s="41">
        <v>3</v>
      </c>
      <c r="N21" s="41">
        <v>41.7</v>
      </c>
      <c r="O21" s="41">
        <v>7</v>
      </c>
      <c r="P21" s="295">
        <v>301</v>
      </c>
      <c r="Q21" s="160">
        <v>31.07</v>
      </c>
      <c r="R21" s="160" t="s">
        <v>343</v>
      </c>
      <c r="S21" s="187">
        <v>61.29</v>
      </c>
      <c r="T21" s="41">
        <v>3</v>
      </c>
      <c r="U21" s="43">
        <f>SUM(E21+F21+K21+M21+O21+T21)</f>
        <v>41</v>
      </c>
    </row>
    <row r="22" spans="1:21" x14ac:dyDescent="0.25">
      <c r="A22" s="40">
        <v>3</v>
      </c>
      <c r="B22" s="39" t="s">
        <v>330</v>
      </c>
      <c r="C22" s="44">
        <v>8.1999999999999993</v>
      </c>
      <c r="D22" s="186">
        <f t="shared" ref="D22:D26" si="2">(C22*D$20)/C$20</f>
        <v>92.238470191226085</v>
      </c>
      <c r="E22" s="41">
        <v>8</v>
      </c>
      <c r="F22" s="41">
        <v>8</v>
      </c>
      <c r="G22" s="41">
        <v>9</v>
      </c>
      <c r="H22" s="41">
        <v>86</v>
      </c>
      <c r="I22" s="41">
        <v>211</v>
      </c>
      <c r="J22" s="295">
        <v>779</v>
      </c>
      <c r="K22" s="41">
        <v>9</v>
      </c>
      <c r="L22" s="187">
        <v>10.41</v>
      </c>
      <c r="M22" s="41">
        <v>4</v>
      </c>
      <c r="N22" s="187">
        <v>39</v>
      </c>
      <c r="O22" s="41">
        <v>6</v>
      </c>
      <c r="P22" s="295">
        <v>301</v>
      </c>
      <c r="Q22" s="185" t="s">
        <v>344</v>
      </c>
      <c r="R22" s="291" t="s">
        <v>343</v>
      </c>
      <c r="S22" s="187">
        <v>60.67</v>
      </c>
      <c r="T22" s="41">
        <v>2</v>
      </c>
      <c r="U22" s="43">
        <f>SUM(E22+F22+K22+M22+O22+T22)</f>
        <v>37</v>
      </c>
    </row>
    <row r="23" spans="1:21" s="87" customFormat="1" x14ac:dyDescent="0.25">
      <c r="A23" s="40">
        <v>4</v>
      </c>
      <c r="B23" s="39" t="s">
        <v>331</v>
      </c>
      <c r="C23" s="44">
        <v>8.51</v>
      </c>
      <c r="D23" s="186">
        <f t="shared" si="2"/>
        <v>95.725534308211465</v>
      </c>
      <c r="E23" s="291">
        <v>10</v>
      </c>
      <c r="F23" s="291">
        <v>9</v>
      </c>
      <c r="G23" s="291">
        <v>9</v>
      </c>
      <c r="H23" s="291">
        <v>89</v>
      </c>
      <c r="I23" s="291">
        <v>212</v>
      </c>
      <c r="J23" s="295">
        <v>785</v>
      </c>
      <c r="K23" s="291">
        <v>9</v>
      </c>
      <c r="L23" s="187">
        <v>9.61</v>
      </c>
      <c r="M23" s="291">
        <v>3</v>
      </c>
      <c r="N23" s="291">
        <v>41.5</v>
      </c>
      <c r="O23" s="291">
        <v>7</v>
      </c>
      <c r="P23" s="295">
        <v>315</v>
      </c>
      <c r="Q23" s="291" t="s">
        <v>343</v>
      </c>
      <c r="R23" s="291" t="s">
        <v>343</v>
      </c>
      <c r="S23" s="187">
        <v>61.26</v>
      </c>
      <c r="T23" s="291">
        <v>3</v>
      </c>
      <c r="U23" s="43">
        <f t="shared" ref="U23:U25" si="3">SUM(E23+F23+K23+M23+O23+T23)</f>
        <v>41</v>
      </c>
    </row>
    <row r="24" spans="1:21" s="87" customFormat="1" x14ac:dyDescent="0.25">
      <c r="A24" s="40">
        <v>5</v>
      </c>
      <c r="B24" s="39" t="s">
        <v>332</v>
      </c>
      <c r="C24" s="44">
        <v>9.69</v>
      </c>
      <c r="D24" s="186">
        <f t="shared" si="2"/>
        <v>108.99887514060741</v>
      </c>
      <c r="E24" s="291">
        <v>12</v>
      </c>
      <c r="F24" s="291">
        <v>9</v>
      </c>
      <c r="G24" s="291">
        <v>9</v>
      </c>
      <c r="H24" s="291">
        <v>94</v>
      </c>
      <c r="I24" s="291">
        <v>212</v>
      </c>
      <c r="J24" s="295">
        <v>792</v>
      </c>
      <c r="K24" s="291">
        <v>9</v>
      </c>
      <c r="L24" s="187">
        <v>9.94</v>
      </c>
      <c r="M24" s="291">
        <v>3</v>
      </c>
      <c r="N24" s="291">
        <v>43.4</v>
      </c>
      <c r="O24" s="291">
        <v>7</v>
      </c>
      <c r="P24" s="295">
        <v>301</v>
      </c>
      <c r="Q24" s="291" t="s">
        <v>343</v>
      </c>
      <c r="R24" s="291" t="s">
        <v>343</v>
      </c>
      <c r="S24" s="187">
        <v>60.9</v>
      </c>
      <c r="T24" s="291">
        <v>2</v>
      </c>
      <c r="U24" s="43">
        <f t="shared" si="3"/>
        <v>42</v>
      </c>
    </row>
    <row r="25" spans="1:21" s="87" customFormat="1" x14ac:dyDescent="0.25">
      <c r="A25" s="40">
        <v>6</v>
      </c>
      <c r="B25" s="39" t="s">
        <v>333</v>
      </c>
      <c r="C25" s="44">
        <v>8.7200000000000006</v>
      </c>
      <c r="D25" s="186">
        <f t="shared" si="2"/>
        <v>98.087739032620931</v>
      </c>
      <c r="E25" s="291">
        <v>10</v>
      </c>
      <c r="F25" s="291">
        <v>9</v>
      </c>
      <c r="G25" s="291">
        <v>9</v>
      </c>
      <c r="H25" s="291">
        <v>91</v>
      </c>
      <c r="I25" s="291">
        <v>212</v>
      </c>
      <c r="J25" s="295">
        <v>786</v>
      </c>
      <c r="K25" s="291">
        <v>9</v>
      </c>
      <c r="L25" s="187">
        <v>10.08</v>
      </c>
      <c r="M25" s="291">
        <v>4</v>
      </c>
      <c r="N25" s="291">
        <v>38.799999999999997</v>
      </c>
      <c r="O25" s="291">
        <v>6</v>
      </c>
      <c r="P25" s="295">
        <v>308</v>
      </c>
      <c r="Q25" s="291" t="s">
        <v>343</v>
      </c>
      <c r="R25" s="291" t="s">
        <v>343</v>
      </c>
      <c r="S25" s="187">
        <v>61.49</v>
      </c>
      <c r="T25" s="291">
        <v>3</v>
      </c>
      <c r="U25" s="43">
        <f t="shared" si="3"/>
        <v>41</v>
      </c>
    </row>
    <row r="26" spans="1:21" x14ac:dyDescent="0.25">
      <c r="A26" s="40">
        <v>7</v>
      </c>
      <c r="B26" s="39" t="s">
        <v>334</v>
      </c>
      <c r="C26" s="44">
        <v>9.01</v>
      </c>
      <c r="D26" s="186">
        <f t="shared" si="2"/>
        <v>101.34983127109111</v>
      </c>
      <c r="E26" s="41">
        <v>10</v>
      </c>
      <c r="F26" s="41">
        <v>9</v>
      </c>
      <c r="G26" s="41">
        <v>9</v>
      </c>
      <c r="H26" s="41">
        <v>90</v>
      </c>
      <c r="I26" s="41">
        <v>212</v>
      </c>
      <c r="J26" s="295">
        <v>779</v>
      </c>
      <c r="K26" s="41">
        <v>9</v>
      </c>
      <c r="L26" s="187">
        <v>10.39</v>
      </c>
      <c r="M26" s="41">
        <v>4</v>
      </c>
      <c r="N26" s="41">
        <v>39.5</v>
      </c>
      <c r="O26" s="41">
        <v>6</v>
      </c>
      <c r="P26" s="295">
        <v>291</v>
      </c>
      <c r="Q26" s="185" t="s">
        <v>343</v>
      </c>
      <c r="R26" s="291" t="s">
        <v>343</v>
      </c>
      <c r="S26" s="187">
        <v>60.88</v>
      </c>
      <c r="T26" s="41">
        <v>2</v>
      </c>
      <c r="U26" s="43">
        <f>SUM(E26+F26+K26+M26+O26+T26)</f>
        <v>40</v>
      </c>
    </row>
    <row r="28" spans="1:21" x14ac:dyDescent="0.25">
      <c r="A28" s="99" t="s">
        <v>64</v>
      </c>
    </row>
    <row r="29" spans="1:21" x14ac:dyDescent="0.25">
      <c r="A29" s="116">
        <v>1</v>
      </c>
      <c r="B29" s="246" t="s">
        <v>328</v>
      </c>
      <c r="C29" s="249">
        <v>9</v>
      </c>
      <c r="D29" s="247">
        <v>100</v>
      </c>
      <c r="E29" s="247">
        <v>10</v>
      </c>
      <c r="F29" s="247">
        <v>9</v>
      </c>
      <c r="G29" s="247">
        <v>9</v>
      </c>
      <c r="H29" s="247">
        <v>123</v>
      </c>
      <c r="I29" s="247">
        <v>201</v>
      </c>
      <c r="J29" s="247">
        <v>775</v>
      </c>
      <c r="K29" s="247">
        <v>9</v>
      </c>
      <c r="L29" s="250">
        <v>9.24</v>
      </c>
      <c r="M29" s="247">
        <v>3</v>
      </c>
      <c r="N29" s="250">
        <v>38.4</v>
      </c>
      <c r="O29" s="247">
        <v>6</v>
      </c>
      <c r="P29" s="247">
        <v>291</v>
      </c>
      <c r="Q29" s="264" t="s">
        <v>339</v>
      </c>
      <c r="R29" s="264" t="s">
        <v>336</v>
      </c>
      <c r="S29" s="250">
        <v>61.46</v>
      </c>
      <c r="T29" s="247">
        <v>3</v>
      </c>
      <c r="U29" s="248">
        <f>SUM(E29+F29+K29+M29+O29+T29)</f>
        <v>40</v>
      </c>
    </row>
    <row r="30" spans="1:21" x14ac:dyDescent="0.25">
      <c r="A30" s="40">
        <v>2</v>
      </c>
      <c r="B30" s="39" t="s">
        <v>329</v>
      </c>
      <c r="C30" s="44">
        <v>8.17</v>
      </c>
      <c r="D30" s="42">
        <f>(C30*D$29)/C$29</f>
        <v>90.777777777777771</v>
      </c>
      <c r="E30" s="41">
        <v>8</v>
      </c>
      <c r="F30" s="41">
        <v>9</v>
      </c>
      <c r="G30" s="41">
        <v>9</v>
      </c>
      <c r="H30" s="41">
        <v>116</v>
      </c>
      <c r="I30" s="41">
        <v>202</v>
      </c>
      <c r="J30" s="295">
        <v>774</v>
      </c>
      <c r="K30" s="41">
        <v>9</v>
      </c>
      <c r="L30" s="187">
        <v>9.66</v>
      </c>
      <c r="M30" s="41">
        <v>3</v>
      </c>
      <c r="N30" s="187">
        <v>39.64</v>
      </c>
      <c r="O30" s="41">
        <v>6</v>
      </c>
      <c r="P30" s="295">
        <v>269</v>
      </c>
      <c r="Q30" s="178" t="s">
        <v>340</v>
      </c>
      <c r="R30" s="178" t="s">
        <v>336</v>
      </c>
      <c r="S30" s="187">
        <v>61.07</v>
      </c>
      <c r="T30" s="41">
        <v>3</v>
      </c>
      <c r="U30" s="43">
        <f>SUM(E30+F30+K30+M30+O30+T30)</f>
        <v>38</v>
      </c>
    </row>
    <row r="31" spans="1:21" x14ac:dyDescent="0.25">
      <c r="A31" s="40">
        <v>3</v>
      </c>
      <c r="B31" s="39" t="s">
        <v>330</v>
      </c>
      <c r="C31" s="44">
        <v>8.34</v>
      </c>
      <c r="D31" s="186">
        <f t="shared" ref="D31:D35" si="4">(C31*D$29)/C$29</f>
        <v>92.666666666666671</v>
      </c>
      <c r="E31" s="41">
        <v>8</v>
      </c>
      <c r="F31" s="41">
        <v>9</v>
      </c>
      <c r="G31" s="41">
        <v>9</v>
      </c>
      <c r="H31" s="41">
        <v>114</v>
      </c>
      <c r="I31" s="41">
        <v>202</v>
      </c>
      <c r="J31" s="295">
        <v>772</v>
      </c>
      <c r="K31" s="41">
        <v>9</v>
      </c>
      <c r="L31" s="187">
        <v>9.58</v>
      </c>
      <c r="M31" s="41">
        <v>3</v>
      </c>
      <c r="N31" s="187">
        <v>37.700000000000003</v>
      </c>
      <c r="O31" s="41">
        <v>6</v>
      </c>
      <c r="P31" s="295">
        <v>263</v>
      </c>
      <c r="Q31" s="178" t="s">
        <v>340</v>
      </c>
      <c r="R31" s="178" t="s">
        <v>336</v>
      </c>
      <c r="S31" s="187">
        <v>61.14</v>
      </c>
      <c r="T31" s="41">
        <v>3</v>
      </c>
      <c r="U31" s="43">
        <f>SUM(E31+F31+K31+M31+O31+T31)</f>
        <v>38</v>
      </c>
    </row>
    <row r="32" spans="1:21" s="87" customFormat="1" x14ac:dyDescent="0.25">
      <c r="A32" s="40">
        <v>4</v>
      </c>
      <c r="B32" s="39" t="s">
        <v>331</v>
      </c>
      <c r="C32" s="44">
        <v>7.67</v>
      </c>
      <c r="D32" s="186">
        <f t="shared" si="4"/>
        <v>85.222222222222229</v>
      </c>
      <c r="E32" s="291">
        <v>6</v>
      </c>
      <c r="F32" s="291">
        <v>9</v>
      </c>
      <c r="G32" s="291">
        <v>9</v>
      </c>
      <c r="H32" s="291">
        <v>112</v>
      </c>
      <c r="I32" s="291">
        <v>204</v>
      </c>
      <c r="J32" s="295">
        <v>777</v>
      </c>
      <c r="K32" s="291">
        <v>9</v>
      </c>
      <c r="L32" s="187">
        <v>9.24</v>
      </c>
      <c r="M32" s="291">
        <v>3</v>
      </c>
      <c r="N32" s="187">
        <v>38.44</v>
      </c>
      <c r="O32" s="291">
        <v>6</v>
      </c>
      <c r="P32" s="295">
        <v>280</v>
      </c>
      <c r="Q32" s="178" t="s">
        <v>341</v>
      </c>
      <c r="R32" s="178" t="s">
        <v>336</v>
      </c>
      <c r="S32" s="187">
        <v>61.23</v>
      </c>
      <c r="T32" s="291">
        <v>3</v>
      </c>
      <c r="U32" s="43">
        <f t="shared" ref="U32:U35" si="5">SUM(E32+F32+K32+M32+O32+T32)</f>
        <v>36</v>
      </c>
    </row>
    <row r="33" spans="1:21" s="87" customFormat="1" x14ac:dyDescent="0.25">
      <c r="A33" s="40">
        <v>5</v>
      </c>
      <c r="B33" s="39" t="s">
        <v>332</v>
      </c>
      <c r="C33" s="44">
        <v>8.4</v>
      </c>
      <c r="D33" s="186">
        <f t="shared" si="4"/>
        <v>93.333333333333329</v>
      </c>
      <c r="E33" s="291">
        <v>8</v>
      </c>
      <c r="F33" s="291">
        <v>9</v>
      </c>
      <c r="G33" s="291">
        <v>9</v>
      </c>
      <c r="H33" s="291">
        <v>110</v>
      </c>
      <c r="I33" s="291">
        <v>202</v>
      </c>
      <c r="J33" s="295">
        <v>782</v>
      </c>
      <c r="K33" s="291">
        <v>9</v>
      </c>
      <c r="L33" s="187">
        <v>9.32</v>
      </c>
      <c r="M33" s="291">
        <v>3</v>
      </c>
      <c r="N33" s="187">
        <v>41.67</v>
      </c>
      <c r="O33" s="291">
        <v>7</v>
      </c>
      <c r="P33" s="295">
        <v>319</v>
      </c>
      <c r="Q33" s="178" t="s">
        <v>340</v>
      </c>
      <c r="R33" s="178" t="s">
        <v>336</v>
      </c>
      <c r="S33" s="187">
        <v>61.18</v>
      </c>
      <c r="T33" s="291">
        <v>3</v>
      </c>
      <c r="U33" s="43">
        <f t="shared" si="5"/>
        <v>39</v>
      </c>
    </row>
    <row r="34" spans="1:21" s="87" customFormat="1" x14ac:dyDescent="0.25">
      <c r="A34" s="40">
        <v>6</v>
      </c>
      <c r="B34" s="39" t="s">
        <v>333</v>
      </c>
      <c r="C34" s="44">
        <v>7.78</v>
      </c>
      <c r="D34" s="186">
        <f t="shared" si="4"/>
        <v>86.444444444444443</v>
      </c>
      <c r="E34" s="291">
        <v>8</v>
      </c>
      <c r="F34" s="291">
        <v>9</v>
      </c>
      <c r="G34" s="291">
        <v>9</v>
      </c>
      <c r="H34" s="291">
        <v>112</v>
      </c>
      <c r="I34" s="291">
        <v>203</v>
      </c>
      <c r="J34" s="295">
        <v>779</v>
      </c>
      <c r="K34" s="291">
        <v>9</v>
      </c>
      <c r="L34" s="187">
        <v>9.56</v>
      </c>
      <c r="M34" s="291">
        <v>3</v>
      </c>
      <c r="N34" s="187">
        <v>38.65</v>
      </c>
      <c r="O34" s="291">
        <v>3</v>
      </c>
      <c r="P34" s="295">
        <v>260</v>
      </c>
      <c r="Q34" s="178" t="s">
        <v>342</v>
      </c>
      <c r="R34" s="178" t="s">
        <v>336</v>
      </c>
      <c r="S34" s="187">
        <v>61.91</v>
      </c>
      <c r="T34" s="291">
        <v>3</v>
      </c>
      <c r="U34" s="43">
        <f t="shared" si="5"/>
        <v>35</v>
      </c>
    </row>
    <row r="35" spans="1:21" x14ac:dyDescent="0.25">
      <c r="A35" s="40">
        <v>7</v>
      </c>
      <c r="B35" s="39" t="s">
        <v>334</v>
      </c>
      <c r="C35" s="44">
        <v>8.0399999999999991</v>
      </c>
      <c r="D35" s="186">
        <f t="shared" si="4"/>
        <v>89.333333333333314</v>
      </c>
      <c r="E35" s="41">
        <v>8</v>
      </c>
      <c r="F35" s="41">
        <v>9</v>
      </c>
      <c r="G35" s="41">
        <v>9</v>
      </c>
      <c r="H35" s="41">
        <v>107</v>
      </c>
      <c r="I35" s="41">
        <v>203</v>
      </c>
      <c r="J35" s="295">
        <v>768</v>
      </c>
      <c r="K35" s="41">
        <v>9</v>
      </c>
      <c r="L35" s="187">
        <v>9.65</v>
      </c>
      <c r="M35" s="41">
        <v>3</v>
      </c>
      <c r="N35" s="187">
        <v>38.33</v>
      </c>
      <c r="O35" s="41">
        <v>3</v>
      </c>
      <c r="P35" s="295">
        <v>227</v>
      </c>
      <c r="Q35" s="178" t="s">
        <v>342</v>
      </c>
      <c r="R35" s="178" t="s">
        <v>336</v>
      </c>
      <c r="S35" s="187">
        <v>61.77</v>
      </c>
      <c r="T35" s="41">
        <v>3</v>
      </c>
      <c r="U35" s="43">
        <f t="shared" si="5"/>
        <v>35</v>
      </c>
    </row>
    <row r="37" spans="1:21" x14ac:dyDescent="0.25">
      <c r="A37" s="99" t="s">
        <v>293</v>
      </c>
    </row>
    <row r="38" spans="1:21" x14ac:dyDescent="0.25">
      <c r="A38" s="116">
        <v>1</v>
      </c>
      <c r="B38" s="246" t="s">
        <v>328</v>
      </c>
      <c r="C38" s="249">
        <f>SUM(C11+C20+C29)/3</f>
        <v>9.4500000000000011</v>
      </c>
      <c r="D38" s="247">
        <v>100</v>
      </c>
      <c r="E38" s="247">
        <v>10</v>
      </c>
      <c r="F38" s="251">
        <f>SUM(F11+F20+F29)/3</f>
        <v>9</v>
      </c>
      <c r="G38" s="251">
        <f t="shared" ref="G38:P38" si="6">SUM(G11+G20+G29)/3</f>
        <v>9</v>
      </c>
      <c r="H38" s="251">
        <f t="shared" si="6"/>
        <v>106</v>
      </c>
      <c r="I38" s="252">
        <f t="shared" si="6"/>
        <v>198.66666666666666</v>
      </c>
      <c r="J38" s="252">
        <f>SUM(J11+J20+J29)/3</f>
        <v>790</v>
      </c>
      <c r="K38" s="247">
        <v>9</v>
      </c>
      <c r="L38" s="257">
        <f>SUM(L11+L20+L29)/3</f>
        <v>9.8766666666666669</v>
      </c>
      <c r="M38" s="247">
        <v>3</v>
      </c>
      <c r="N38" s="250">
        <f t="shared" si="6"/>
        <v>40.366666666666667</v>
      </c>
      <c r="O38" s="247">
        <v>6</v>
      </c>
      <c r="P38" s="251">
        <f t="shared" si="6"/>
        <v>258.66666666666669</v>
      </c>
      <c r="Q38" s="251"/>
      <c r="R38" s="251"/>
      <c r="S38" s="257">
        <f>SUM(S11+S20+S29)/3</f>
        <v>61.123333333333335</v>
      </c>
      <c r="T38" s="247">
        <v>3</v>
      </c>
      <c r="U38" s="253">
        <f>SUM(E38+F38+K38+M38+O38+T38)</f>
        <v>40</v>
      </c>
    </row>
    <row r="39" spans="1:21" x14ac:dyDescent="0.25">
      <c r="A39" s="40">
        <v>2</v>
      </c>
      <c r="B39" s="39" t="s">
        <v>329</v>
      </c>
      <c r="C39" s="47">
        <f>SUM(C12+C21+C30)/3</f>
        <v>9.1300000000000008</v>
      </c>
      <c r="D39" s="42">
        <f>(C39*D$38)/C$38</f>
        <v>96.613756613756621</v>
      </c>
      <c r="E39" s="41">
        <v>10</v>
      </c>
      <c r="F39" s="48">
        <f>SUM(F12+F21+F30)/3</f>
        <v>9</v>
      </c>
      <c r="G39" s="48">
        <f t="shared" ref="G39:I40" si="7">SUM(G12+G21+G30)/3</f>
        <v>9</v>
      </c>
      <c r="H39" s="48">
        <f t="shared" si="7"/>
        <v>105</v>
      </c>
      <c r="I39" s="59">
        <f t="shared" si="7"/>
        <v>199</v>
      </c>
      <c r="J39" s="194">
        <f t="shared" ref="J39:L39" si="8">SUM(J12+J21+J30)/3</f>
        <v>789</v>
      </c>
      <c r="K39" s="41">
        <v>9</v>
      </c>
      <c r="L39" s="180">
        <f t="shared" si="8"/>
        <v>10.023333333333333</v>
      </c>
      <c r="M39" s="49">
        <v>4</v>
      </c>
      <c r="N39" s="50">
        <f>SUM(N12+N21+N30)/3</f>
        <v>40.880000000000003</v>
      </c>
      <c r="O39" s="49">
        <v>6</v>
      </c>
      <c r="P39" s="48">
        <f>SUM(P12+P21+P30)/3</f>
        <v>284.33333333333331</v>
      </c>
      <c r="Q39" s="48"/>
      <c r="R39" s="48"/>
      <c r="S39" s="180">
        <f t="shared" ref="S39" si="9">SUM(S12+S21+S30)/3</f>
        <v>61.21</v>
      </c>
      <c r="T39" s="41">
        <v>3</v>
      </c>
      <c r="U39" s="195">
        <f>SUM(E39+F39+K39+M39+O39+T39)</f>
        <v>41</v>
      </c>
    </row>
    <row r="40" spans="1:21" x14ac:dyDescent="0.25">
      <c r="A40" s="40">
        <v>3</v>
      </c>
      <c r="B40" s="39" t="s">
        <v>330</v>
      </c>
      <c r="C40" s="47">
        <f>SUM(C13+C22+C31)/3</f>
        <v>8.9499999999999993</v>
      </c>
      <c r="D40" s="186">
        <f t="shared" ref="D40:D44" si="10">(C40*D$38)/C$38</f>
        <v>94.70899470899468</v>
      </c>
      <c r="E40" s="41">
        <v>8</v>
      </c>
      <c r="F40" s="189">
        <f t="shared" ref="F40:I44" si="11">SUM(F13+F22+F31)/3</f>
        <v>8.6666666666666661</v>
      </c>
      <c r="G40" s="48">
        <f t="shared" si="7"/>
        <v>9</v>
      </c>
      <c r="H40" s="48">
        <f t="shared" si="7"/>
        <v>101</v>
      </c>
      <c r="I40" s="59">
        <f t="shared" si="7"/>
        <v>198.66666666666666</v>
      </c>
      <c r="J40" s="194">
        <f t="shared" ref="J40:L40" si="12">SUM(J13+J22+J31)/3</f>
        <v>787.33333333333337</v>
      </c>
      <c r="K40" s="41">
        <v>9</v>
      </c>
      <c r="L40" s="180">
        <f t="shared" si="12"/>
        <v>10.233333333333334</v>
      </c>
      <c r="M40" s="49">
        <v>4</v>
      </c>
      <c r="N40" s="191">
        <f t="shared" ref="N40:N44" si="13">SUM(N13+N22+N31)/3</f>
        <v>38.766666666666666</v>
      </c>
      <c r="O40" s="49">
        <v>6</v>
      </c>
      <c r="P40" s="48">
        <f>SUM(P13+P22+P31)/3</f>
        <v>278</v>
      </c>
      <c r="Q40" s="48"/>
      <c r="R40" s="48"/>
      <c r="S40" s="180">
        <f t="shared" ref="S40" si="14">SUM(S13+S22+S31)/3</f>
        <v>60.863333333333337</v>
      </c>
      <c r="T40" s="41">
        <v>2</v>
      </c>
      <c r="U40" s="195">
        <f>SUM(E40+F40+K40+M40+O40+T40)</f>
        <v>37.666666666666664</v>
      </c>
    </row>
    <row r="41" spans="1:21" s="87" customFormat="1" x14ac:dyDescent="0.25">
      <c r="A41" s="40">
        <v>4</v>
      </c>
      <c r="B41" s="39" t="s">
        <v>331</v>
      </c>
      <c r="C41" s="188">
        <f t="shared" ref="C41:C44" si="15">SUM(C14+C23+C32)/3</f>
        <v>8.7100000000000009</v>
      </c>
      <c r="D41" s="186">
        <f t="shared" si="10"/>
        <v>92.169312169312164</v>
      </c>
      <c r="E41" s="291">
        <v>8</v>
      </c>
      <c r="F41" s="189">
        <f t="shared" si="11"/>
        <v>9</v>
      </c>
      <c r="G41" s="189">
        <f t="shared" si="11"/>
        <v>9</v>
      </c>
      <c r="H41" s="189">
        <f t="shared" si="11"/>
        <v>102.66666666666667</v>
      </c>
      <c r="I41" s="194">
        <f t="shared" si="11"/>
        <v>199.66666666666666</v>
      </c>
      <c r="J41" s="194">
        <f t="shared" ref="J41:L41" si="16">SUM(J14+J23+J32)/3</f>
        <v>790</v>
      </c>
      <c r="K41" s="291">
        <v>9</v>
      </c>
      <c r="L41" s="180">
        <f t="shared" si="16"/>
        <v>9.7133333333333329</v>
      </c>
      <c r="M41" s="190">
        <v>3</v>
      </c>
      <c r="N41" s="191">
        <f t="shared" si="13"/>
        <v>40.446666666666665</v>
      </c>
      <c r="O41" s="190">
        <v>6</v>
      </c>
      <c r="P41" s="189">
        <f t="shared" ref="P41:P43" si="17">SUM(P14+P23+P32)/3</f>
        <v>294</v>
      </c>
      <c r="Q41" s="189"/>
      <c r="R41" s="189"/>
      <c r="S41" s="180">
        <f t="shared" ref="S41" si="18">SUM(S14+S23+S32)/3</f>
        <v>61.216666666666661</v>
      </c>
      <c r="T41" s="291">
        <v>3</v>
      </c>
      <c r="U41" s="195">
        <f t="shared" ref="U41:U44" si="19">SUM(E41+F41+K41+M41+O41+T41)</f>
        <v>38</v>
      </c>
    </row>
    <row r="42" spans="1:21" s="87" customFormat="1" x14ac:dyDescent="0.25">
      <c r="A42" s="40">
        <v>5</v>
      </c>
      <c r="B42" s="39" t="s">
        <v>332</v>
      </c>
      <c r="C42" s="188">
        <f t="shared" si="15"/>
        <v>9.7533333333333321</v>
      </c>
      <c r="D42" s="186">
        <f t="shared" si="10"/>
        <v>103.20987654320986</v>
      </c>
      <c r="E42" s="291">
        <v>10</v>
      </c>
      <c r="F42" s="189">
        <f t="shared" si="11"/>
        <v>9</v>
      </c>
      <c r="G42" s="189">
        <f t="shared" si="11"/>
        <v>9</v>
      </c>
      <c r="H42" s="189">
        <f t="shared" si="11"/>
        <v>103.66666666666667</v>
      </c>
      <c r="I42" s="194">
        <f t="shared" si="11"/>
        <v>199</v>
      </c>
      <c r="J42" s="194">
        <f t="shared" ref="J42:L42" si="20">SUM(J15+J24+J33)/3</f>
        <v>794.33333333333337</v>
      </c>
      <c r="K42" s="291">
        <v>9</v>
      </c>
      <c r="L42" s="180">
        <f t="shared" si="20"/>
        <v>9.86</v>
      </c>
      <c r="M42" s="190">
        <v>3</v>
      </c>
      <c r="N42" s="191">
        <f t="shared" si="13"/>
        <v>43.29</v>
      </c>
      <c r="O42" s="190">
        <v>7</v>
      </c>
      <c r="P42" s="189">
        <f t="shared" si="17"/>
        <v>305.66666666666669</v>
      </c>
      <c r="Q42" s="189"/>
      <c r="R42" s="189"/>
      <c r="S42" s="180">
        <f t="shared" ref="S42" si="21">SUM(S15+S24+S33)/3</f>
        <v>61.086666666666666</v>
      </c>
      <c r="T42" s="291">
        <v>3</v>
      </c>
      <c r="U42" s="195">
        <f t="shared" si="19"/>
        <v>41</v>
      </c>
    </row>
    <row r="43" spans="1:21" s="87" customFormat="1" x14ac:dyDescent="0.25">
      <c r="A43" s="40">
        <v>6</v>
      </c>
      <c r="B43" s="39" t="s">
        <v>333</v>
      </c>
      <c r="C43" s="188">
        <f t="shared" si="15"/>
        <v>8.7866666666666671</v>
      </c>
      <c r="D43" s="186">
        <f t="shared" si="10"/>
        <v>92.980599647266317</v>
      </c>
      <c r="E43" s="291">
        <v>8</v>
      </c>
      <c r="F43" s="189">
        <f t="shared" si="11"/>
        <v>9</v>
      </c>
      <c r="G43" s="189">
        <f t="shared" si="11"/>
        <v>9</v>
      </c>
      <c r="H43" s="189">
        <f t="shared" si="11"/>
        <v>102.66666666666667</v>
      </c>
      <c r="I43" s="194">
        <f t="shared" si="11"/>
        <v>199.33333333333334</v>
      </c>
      <c r="J43" s="194">
        <f t="shared" ref="J43:L43" si="22">SUM(J16+J25+J34)/3</f>
        <v>790.33333333333337</v>
      </c>
      <c r="K43" s="291">
        <v>9</v>
      </c>
      <c r="L43" s="180">
        <f t="shared" si="22"/>
        <v>10.183333333333335</v>
      </c>
      <c r="M43" s="190">
        <v>4</v>
      </c>
      <c r="N43" s="191">
        <f t="shared" si="13"/>
        <v>39.116666666666667</v>
      </c>
      <c r="O43" s="190">
        <v>6</v>
      </c>
      <c r="P43" s="189">
        <f t="shared" si="17"/>
        <v>291</v>
      </c>
      <c r="Q43" s="189"/>
      <c r="R43" s="189"/>
      <c r="S43" s="180">
        <f t="shared" ref="S43" si="23">SUM(S16+S25+S34)/3</f>
        <v>61.586666666666666</v>
      </c>
      <c r="T43" s="291">
        <v>3</v>
      </c>
      <c r="U43" s="195">
        <f t="shared" si="19"/>
        <v>39</v>
      </c>
    </row>
    <row r="44" spans="1:21" x14ac:dyDescent="0.25">
      <c r="A44" s="40">
        <v>7</v>
      </c>
      <c r="B44" s="39" t="s">
        <v>334</v>
      </c>
      <c r="C44" s="188">
        <f t="shared" si="15"/>
        <v>9.2666666666666657</v>
      </c>
      <c r="D44" s="186">
        <f t="shared" si="10"/>
        <v>98.059964726631364</v>
      </c>
      <c r="E44" s="41">
        <v>10</v>
      </c>
      <c r="F44" s="189">
        <f t="shared" si="11"/>
        <v>9</v>
      </c>
      <c r="G44" s="189">
        <f t="shared" si="11"/>
        <v>9</v>
      </c>
      <c r="H44" s="189">
        <f t="shared" si="11"/>
        <v>99.666666666666671</v>
      </c>
      <c r="I44" s="194">
        <f t="shared" si="11"/>
        <v>199.33333333333334</v>
      </c>
      <c r="J44" s="194">
        <f t="shared" ref="J44:L44" si="24">SUM(J17+J26+J35)/3</f>
        <v>784.33333333333337</v>
      </c>
      <c r="K44" s="41">
        <v>9</v>
      </c>
      <c r="L44" s="180">
        <f t="shared" si="24"/>
        <v>10.216666666666667</v>
      </c>
      <c r="M44" s="49">
        <v>4</v>
      </c>
      <c r="N44" s="191">
        <f t="shared" si="13"/>
        <v>39.410000000000004</v>
      </c>
      <c r="O44" s="49">
        <v>6</v>
      </c>
      <c r="P44" s="48">
        <f>SUM(P17+P26+P35)/3</f>
        <v>265.33333333333331</v>
      </c>
      <c r="Q44" s="48"/>
      <c r="R44" s="48"/>
      <c r="S44" s="180">
        <f t="shared" ref="S44" si="25">SUM(S17+S26+S35)/3</f>
        <v>61.276666666666671</v>
      </c>
      <c r="T44" s="41">
        <v>3</v>
      </c>
      <c r="U44" s="195">
        <f t="shared" si="19"/>
        <v>41</v>
      </c>
    </row>
    <row r="46" spans="1:21" x14ac:dyDescent="0.25">
      <c r="B46" s="367" t="s">
        <v>104</v>
      </c>
      <c r="C46" s="367"/>
      <c r="D46" s="367"/>
      <c r="E46" s="367"/>
      <c r="F46" s="367"/>
      <c r="G46" s="367"/>
      <c r="H46" s="367"/>
    </row>
    <row r="47" spans="1:21" x14ac:dyDescent="0.25">
      <c r="B47" s="123" t="s">
        <v>307</v>
      </c>
      <c r="C47" s="363" t="s">
        <v>145</v>
      </c>
      <c r="D47" s="364"/>
      <c r="E47" s="363" t="s">
        <v>118</v>
      </c>
      <c r="F47" s="364"/>
      <c r="G47" s="357" t="s">
        <v>135</v>
      </c>
      <c r="H47" s="364"/>
    </row>
    <row r="48" spans="1:21" x14ac:dyDescent="0.25">
      <c r="B48" s="124" t="s">
        <v>106</v>
      </c>
      <c r="C48" s="368"/>
      <c r="D48" s="369"/>
      <c r="E48" s="369"/>
      <c r="F48" s="369"/>
      <c r="G48" s="369"/>
      <c r="H48" s="370"/>
    </row>
    <row r="49" spans="2:8" s="87" customFormat="1" x14ac:dyDescent="0.25">
      <c r="B49" s="124" t="s">
        <v>156</v>
      </c>
      <c r="C49" s="378" t="s">
        <v>320</v>
      </c>
      <c r="D49" s="378"/>
      <c r="E49" s="357" t="s">
        <v>248</v>
      </c>
      <c r="F49" s="357"/>
      <c r="G49" s="356" t="s">
        <v>354</v>
      </c>
      <c r="H49" s="362"/>
    </row>
    <row r="50" spans="2:8" s="87" customFormat="1" x14ac:dyDescent="0.25">
      <c r="B50" s="124" t="s">
        <v>119</v>
      </c>
      <c r="C50" s="363" t="s">
        <v>228</v>
      </c>
      <c r="D50" s="357"/>
      <c r="E50" s="357" t="s">
        <v>176</v>
      </c>
      <c r="F50" s="357"/>
      <c r="G50" s="356" t="s">
        <v>240</v>
      </c>
      <c r="H50" s="362"/>
    </row>
    <row r="51" spans="2:8" x14ac:dyDescent="0.25">
      <c r="B51" s="124" t="s">
        <v>107</v>
      </c>
      <c r="C51" s="363">
        <v>1.8</v>
      </c>
      <c r="D51" s="364"/>
      <c r="E51" s="363">
        <v>2.1</v>
      </c>
      <c r="F51" s="364"/>
      <c r="G51" s="361">
        <v>3.4</v>
      </c>
      <c r="H51" s="362"/>
    </row>
    <row r="52" spans="2:8" x14ac:dyDescent="0.25">
      <c r="B52" s="124" t="s">
        <v>108</v>
      </c>
      <c r="C52" s="363">
        <v>5.6</v>
      </c>
      <c r="D52" s="364"/>
      <c r="E52" s="363">
        <v>5.0999999999999996</v>
      </c>
      <c r="F52" s="364"/>
      <c r="G52" s="361">
        <v>6.4</v>
      </c>
      <c r="H52" s="362"/>
    </row>
    <row r="53" spans="2:8" x14ac:dyDescent="0.25">
      <c r="B53" s="124" t="s">
        <v>109</v>
      </c>
      <c r="C53" s="363">
        <v>192</v>
      </c>
      <c r="D53" s="364"/>
      <c r="E53" s="363">
        <v>181</v>
      </c>
      <c r="F53" s="364"/>
      <c r="G53" s="361">
        <v>138</v>
      </c>
      <c r="H53" s="362"/>
    </row>
    <row r="54" spans="2:8" x14ac:dyDescent="0.25">
      <c r="B54" s="124" t="s">
        <v>110</v>
      </c>
      <c r="C54" s="363">
        <v>162</v>
      </c>
      <c r="D54" s="364"/>
      <c r="E54" s="363">
        <v>173</v>
      </c>
      <c r="F54" s="364"/>
      <c r="G54" s="361">
        <v>209</v>
      </c>
      <c r="H54" s="362"/>
    </row>
    <row r="55" spans="2:8" x14ac:dyDescent="0.25">
      <c r="B55" s="124" t="s">
        <v>140</v>
      </c>
      <c r="C55" s="361" t="s">
        <v>337</v>
      </c>
      <c r="D55" s="356"/>
      <c r="E55" s="357" t="s">
        <v>345</v>
      </c>
      <c r="F55" s="357"/>
      <c r="G55" s="356" t="s">
        <v>337</v>
      </c>
      <c r="H55" s="356"/>
    </row>
    <row r="56" spans="2:8" s="298" customFormat="1" x14ac:dyDescent="0.25">
      <c r="B56" s="124" t="s">
        <v>680</v>
      </c>
      <c r="C56" s="361" t="s">
        <v>682</v>
      </c>
      <c r="D56" s="356"/>
      <c r="E56" s="356"/>
      <c r="F56" s="356"/>
      <c r="G56" s="356"/>
      <c r="H56" s="356"/>
    </row>
    <row r="57" spans="2:8" x14ac:dyDescent="0.25">
      <c r="B57" s="124" t="s">
        <v>111</v>
      </c>
      <c r="C57" s="353" t="s">
        <v>325</v>
      </c>
      <c r="D57" s="353"/>
      <c r="E57" s="353" t="s">
        <v>346</v>
      </c>
      <c r="F57" s="353"/>
      <c r="G57" s="358" t="s">
        <v>325</v>
      </c>
      <c r="H57" s="358"/>
    </row>
    <row r="58" spans="2:8" x14ac:dyDescent="0.25">
      <c r="B58" s="123" t="s">
        <v>142</v>
      </c>
      <c r="C58" s="377" t="s">
        <v>322</v>
      </c>
      <c r="D58" s="358"/>
      <c r="E58" s="353" t="s">
        <v>532</v>
      </c>
      <c r="F58" s="353"/>
      <c r="G58" s="358" t="s">
        <v>355</v>
      </c>
      <c r="H58" s="358"/>
    </row>
    <row r="59" spans="2:8" x14ac:dyDescent="0.25">
      <c r="B59" s="123" t="s">
        <v>143</v>
      </c>
      <c r="C59" s="358" t="s">
        <v>323</v>
      </c>
      <c r="D59" s="358"/>
      <c r="E59" s="353" t="s">
        <v>533</v>
      </c>
      <c r="F59" s="353"/>
      <c r="G59" s="358" t="s">
        <v>356</v>
      </c>
      <c r="H59" s="358"/>
    </row>
    <row r="60" spans="2:8" x14ac:dyDescent="0.25">
      <c r="B60" s="123" t="s">
        <v>112</v>
      </c>
      <c r="C60" s="363" t="s">
        <v>338</v>
      </c>
      <c r="D60" s="364"/>
      <c r="E60" s="353" t="s">
        <v>347</v>
      </c>
      <c r="F60" s="353"/>
      <c r="G60" s="358" t="s">
        <v>338</v>
      </c>
      <c r="H60" s="358"/>
    </row>
    <row r="61" spans="2:8" x14ac:dyDescent="0.25">
      <c r="B61" s="124" t="s">
        <v>113</v>
      </c>
      <c r="C61" s="359"/>
      <c r="D61" s="359"/>
      <c r="E61" s="359"/>
      <c r="F61" s="359"/>
      <c r="G61" s="359"/>
      <c r="H61" s="359"/>
    </row>
    <row r="62" spans="2:8" x14ac:dyDescent="0.25">
      <c r="B62" s="124" t="s">
        <v>114</v>
      </c>
      <c r="C62" s="211" t="s">
        <v>321</v>
      </c>
      <c r="D62" s="177" t="s">
        <v>155</v>
      </c>
      <c r="E62" s="213" t="s">
        <v>348</v>
      </c>
      <c r="F62" s="207" t="s">
        <v>155</v>
      </c>
      <c r="G62" s="227" t="s">
        <v>357</v>
      </c>
      <c r="H62" s="177" t="s">
        <v>358</v>
      </c>
    </row>
    <row r="63" spans="2:8" x14ac:dyDescent="0.25">
      <c r="B63" s="124" t="s">
        <v>138</v>
      </c>
      <c r="C63" s="211" t="s">
        <v>323</v>
      </c>
      <c r="D63" s="177" t="s">
        <v>578</v>
      </c>
      <c r="E63" s="124"/>
      <c r="F63" s="207">
        <v>93</v>
      </c>
      <c r="G63" s="227"/>
      <c r="H63" s="177" t="s">
        <v>359</v>
      </c>
    </row>
    <row r="64" spans="2:8" s="87" customFormat="1" x14ac:dyDescent="0.25">
      <c r="B64" s="124" t="s">
        <v>138</v>
      </c>
      <c r="C64" s="211" t="s">
        <v>515</v>
      </c>
      <c r="D64" s="177" t="s">
        <v>579</v>
      </c>
      <c r="E64" s="124"/>
      <c r="F64" s="207"/>
      <c r="G64" s="227"/>
      <c r="H64" s="177"/>
    </row>
    <row r="65" spans="2:8" s="87" customFormat="1" x14ac:dyDescent="0.25">
      <c r="B65" s="124" t="s">
        <v>247</v>
      </c>
      <c r="C65" s="201"/>
      <c r="D65" s="210"/>
      <c r="E65" s="124"/>
      <c r="F65" s="207"/>
      <c r="G65" s="201"/>
      <c r="H65" s="210"/>
    </row>
    <row r="66" spans="2:8" x14ac:dyDescent="0.25">
      <c r="B66" s="124"/>
      <c r="C66" s="201"/>
      <c r="D66" s="210"/>
      <c r="E66" s="124"/>
      <c r="F66" s="149"/>
      <c r="G66" s="201"/>
      <c r="H66" s="210"/>
    </row>
    <row r="67" spans="2:8" x14ac:dyDescent="0.25">
      <c r="B67" s="124" t="s">
        <v>115</v>
      </c>
      <c r="C67" s="353"/>
      <c r="D67" s="353"/>
      <c r="E67" s="353"/>
      <c r="F67" s="353"/>
      <c r="G67" s="353"/>
      <c r="H67" s="353"/>
    </row>
    <row r="68" spans="2:8" x14ac:dyDescent="0.25">
      <c r="B68" s="124" t="s">
        <v>116</v>
      </c>
      <c r="C68" s="211" t="s">
        <v>580</v>
      </c>
      <c r="D68" s="211" t="s">
        <v>175</v>
      </c>
      <c r="E68" s="124" t="s">
        <v>351</v>
      </c>
      <c r="F68" s="124" t="s">
        <v>349</v>
      </c>
      <c r="G68" s="211" t="s">
        <v>364</v>
      </c>
      <c r="H68" s="211" t="s">
        <v>366</v>
      </c>
    </row>
    <row r="69" spans="2:8" s="87" customFormat="1" x14ac:dyDescent="0.25">
      <c r="B69" s="124"/>
      <c r="C69" s="211"/>
      <c r="D69" s="211" t="s">
        <v>267</v>
      </c>
      <c r="E69" s="124"/>
      <c r="F69" s="213"/>
      <c r="G69" s="201"/>
      <c r="H69" s="201"/>
    </row>
    <row r="70" spans="2:8" x14ac:dyDescent="0.25">
      <c r="B70" s="127"/>
      <c r="C70" s="211" t="s">
        <v>513</v>
      </c>
      <c r="D70" s="211" t="s">
        <v>395</v>
      </c>
      <c r="E70" s="124"/>
      <c r="F70" s="113"/>
      <c r="G70" s="201"/>
      <c r="H70" s="201"/>
    </row>
    <row r="71" spans="2:8" s="87" customFormat="1" x14ac:dyDescent="0.25">
      <c r="B71" s="127"/>
      <c r="C71" s="211"/>
      <c r="D71" s="211" t="s">
        <v>581</v>
      </c>
      <c r="E71" s="124"/>
      <c r="F71" s="113"/>
      <c r="G71" s="201"/>
      <c r="H71" s="201"/>
    </row>
    <row r="72" spans="2:8" s="87" customFormat="1" x14ac:dyDescent="0.25">
      <c r="B72" s="127"/>
      <c r="C72" s="201"/>
      <c r="D72" s="201"/>
      <c r="E72" s="124"/>
      <c r="F72" s="113"/>
      <c r="G72" s="201"/>
      <c r="H72" s="201"/>
    </row>
    <row r="73" spans="2:8" x14ac:dyDescent="0.25">
      <c r="B73" s="124" t="s">
        <v>171</v>
      </c>
      <c r="C73" s="211" t="s">
        <v>572</v>
      </c>
      <c r="D73" s="211" t="s">
        <v>582</v>
      </c>
      <c r="E73" s="124"/>
      <c r="F73" s="124"/>
      <c r="G73" s="211"/>
      <c r="H73" s="211"/>
    </row>
    <row r="74" spans="2:8" s="87" customFormat="1" x14ac:dyDescent="0.25">
      <c r="B74" s="124"/>
      <c r="C74" s="201"/>
      <c r="D74" s="201"/>
      <c r="E74" s="124"/>
      <c r="F74" s="124"/>
      <c r="G74" s="201"/>
      <c r="H74" s="201"/>
    </row>
    <row r="75" spans="2:8" x14ac:dyDescent="0.25">
      <c r="B75" s="124" t="s">
        <v>170</v>
      </c>
      <c r="C75" s="211" t="s">
        <v>513</v>
      </c>
      <c r="D75" s="211" t="s">
        <v>583</v>
      </c>
      <c r="E75" s="124" t="s">
        <v>352</v>
      </c>
      <c r="F75" s="113" t="s">
        <v>268</v>
      </c>
      <c r="G75" s="211" t="s">
        <v>364</v>
      </c>
      <c r="H75" s="211" t="s">
        <v>365</v>
      </c>
    </row>
    <row r="76" spans="2:8" s="87" customFormat="1" x14ac:dyDescent="0.25">
      <c r="B76" s="124"/>
      <c r="C76" s="211" t="s">
        <v>394</v>
      </c>
      <c r="D76" s="211" t="s">
        <v>584</v>
      </c>
      <c r="G76" s="201"/>
      <c r="H76" s="212"/>
    </row>
    <row r="77" spans="2:8" s="87" customFormat="1" x14ac:dyDescent="0.25">
      <c r="B77" s="124"/>
      <c r="C77" s="201"/>
      <c r="D77" s="201"/>
      <c r="E77" s="124"/>
      <c r="F77" s="113"/>
      <c r="G77" s="201"/>
      <c r="H77" s="212"/>
    </row>
    <row r="78" spans="2:8" x14ac:dyDescent="0.25">
      <c r="B78" s="124" t="s">
        <v>148</v>
      </c>
      <c r="C78" s="211" t="s">
        <v>394</v>
      </c>
      <c r="D78" s="211" t="s">
        <v>585</v>
      </c>
      <c r="E78" s="124" t="s">
        <v>353</v>
      </c>
      <c r="F78" s="113" t="s">
        <v>350</v>
      </c>
      <c r="G78" s="124" t="s">
        <v>362</v>
      </c>
      <c r="H78" s="113" t="s">
        <v>363</v>
      </c>
    </row>
    <row r="79" spans="2:8" s="87" customFormat="1" x14ac:dyDescent="0.25">
      <c r="B79" s="124"/>
      <c r="C79" s="211" t="s">
        <v>572</v>
      </c>
      <c r="D79" s="211" t="s">
        <v>586</v>
      </c>
      <c r="E79" s="124"/>
      <c r="F79" s="124"/>
      <c r="G79" s="201"/>
      <c r="H79" s="212"/>
    </row>
    <row r="80" spans="2:8" s="87" customFormat="1" x14ac:dyDescent="0.25">
      <c r="B80" s="124"/>
      <c r="C80" s="201"/>
      <c r="D80" s="201"/>
      <c r="E80" s="124"/>
      <c r="F80" s="124"/>
      <c r="G80" s="201"/>
      <c r="H80" s="212"/>
    </row>
    <row r="81" spans="2:8" x14ac:dyDescent="0.25">
      <c r="B81" s="124" t="s">
        <v>144</v>
      </c>
      <c r="C81" s="113"/>
      <c r="D81" s="113"/>
      <c r="E81" s="124"/>
      <c r="F81" s="124"/>
      <c r="G81" s="211"/>
      <c r="H81" s="211"/>
    </row>
    <row r="82" spans="2:8" x14ac:dyDescent="0.25">
      <c r="B82" s="127"/>
      <c r="C82" s="201"/>
      <c r="D82" s="201"/>
      <c r="E82" s="124"/>
      <c r="F82" s="124"/>
      <c r="G82" s="201"/>
      <c r="H82" s="201"/>
    </row>
    <row r="83" spans="2:8" x14ac:dyDescent="0.25">
      <c r="B83" s="127"/>
      <c r="C83" s="124"/>
      <c r="D83" s="124"/>
      <c r="E83" s="124"/>
      <c r="F83" s="124"/>
      <c r="G83" s="201"/>
      <c r="H83" s="201"/>
    </row>
  </sheetData>
  <mergeCells count="49">
    <mergeCell ref="S7:T7"/>
    <mergeCell ref="U7:U8"/>
    <mergeCell ref="A7:A8"/>
    <mergeCell ref="B7:B8"/>
    <mergeCell ref="C7:E7"/>
    <mergeCell ref="J7:K7"/>
    <mergeCell ref="L7:M7"/>
    <mergeCell ref="N7:O7"/>
    <mergeCell ref="B46:H46"/>
    <mergeCell ref="C47:D47"/>
    <mergeCell ref="E47:F47"/>
    <mergeCell ref="G47:H47"/>
    <mergeCell ref="C48:H48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C54:D54"/>
    <mergeCell ref="E54:F54"/>
    <mergeCell ref="G54:H54"/>
    <mergeCell ref="C55:D55"/>
    <mergeCell ref="E55:F55"/>
    <mergeCell ref="G55:H55"/>
    <mergeCell ref="C57:D57"/>
    <mergeCell ref="E57:F57"/>
    <mergeCell ref="G57:H57"/>
    <mergeCell ref="C56:H56"/>
    <mergeCell ref="C58:D58"/>
    <mergeCell ref="E58:F58"/>
    <mergeCell ref="G58:H58"/>
    <mergeCell ref="C59:D59"/>
    <mergeCell ref="E59:F59"/>
    <mergeCell ref="G59:H59"/>
    <mergeCell ref="C60:D60"/>
    <mergeCell ref="E60:F60"/>
    <mergeCell ref="G60:H60"/>
    <mergeCell ref="C61:H61"/>
    <mergeCell ref="C67:H67"/>
    <mergeCell ref="C50:D50"/>
    <mergeCell ref="C49:D49"/>
    <mergeCell ref="E49:F49"/>
    <mergeCell ref="E50:F50"/>
    <mergeCell ref="G49:H49"/>
    <mergeCell ref="G50:H5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105"/>
  <sheetViews>
    <sheetView workbookViewId="0">
      <selection activeCell="K74" sqref="K74"/>
    </sheetView>
  </sheetViews>
  <sheetFormatPr defaultRowHeight="15" x14ac:dyDescent="0.25"/>
  <cols>
    <col min="1" max="1" width="5" customWidth="1"/>
    <col min="2" max="2" width="30.42578125" customWidth="1"/>
    <col min="3" max="3" width="12.42578125" customWidth="1"/>
    <col min="4" max="4" width="25.140625" customWidth="1"/>
    <col min="5" max="5" width="12.5703125" customWidth="1"/>
    <col min="6" max="6" width="28.85546875" bestFit="1" customWidth="1"/>
    <col min="7" max="7" width="12" customWidth="1"/>
    <col min="8" max="8" width="28.85546875" bestFit="1" customWidth="1"/>
    <col min="19" max="19" width="9.7109375" bestFit="1" customWidth="1"/>
    <col min="20" max="21" width="8.85546875" style="87"/>
  </cols>
  <sheetData>
    <row r="2" spans="1:25" x14ac:dyDescent="0.25">
      <c r="B2" s="25" t="s">
        <v>360</v>
      </c>
    </row>
    <row r="3" spans="1:25" x14ac:dyDescent="0.25">
      <c r="B3" s="24" t="s">
        <v>361</v>
      </c>
    </row>
    <row r="5" spans="1:25" ht="15.75" x14ac:dyDescent="0.25">
      <c r="A5" s="51" t="s">
        <v>38</v>
      </c>
    </row>
    <row r="7" spans="1:25" ht="75.599999999999994" customHeight="1" x14ac:dyDescent="0.25">
      <c r="A7" s="387" t="s">
        <v>1</v>
      </c>
      <c r="B7" s="387" t="s">
        <v>2</v>
      </c>
      <c r="C7" s="387" t="s">
        <v>3</v>
      </c>
      <c r="D7" s="387"/>
      <c r="E7" s="387"/>
      <c r="F7" s="52" t="s">
        <v>39</v>
      </c>
      <c r="G7" s="192" t="s">
        <v>5</v>
      </c>
      <c r="H7" s="192" t="s">
        <v>6</v>
      </c>
      <c r="I7" s="53" t="s">
        <v>7</v>
      </c>
      <c r="J7" s="387" t="s">
        <v>29</v>
      </c>
      <c r="K7" s="387"/>
      <c r="L7" s="387" t="s">
        <v>9</v>
      </c>
      <c r="M7" s="387"/>
      <c r="N7" s="387" t="s">
        <v>10</v>
      </c>
      <c r="O7" s="387"/>
      <c r="P7" s="387" t="s">
        <v>40</v>
      </c>
      <c r="Q7" s="387"/>
      <c r="R7" s="52" t="s">
        <v>41</v>
      </c>
      <c r="S7" s="52" t="s">
        <v>11</v>
      </c>
      <c r="T7" s="157" t="s">
        <v>180</v>
      </c>
      <c r="U7" s="157" t="s">
        <v>112</v>
      </c>
      <c r="V7" s="387" t="s">
        <v>12</v>
      </c>
      <c r="W7" s="387"/>
      <c r="X7" s="388" t="s">
        <v>13</v>
      </c>
    </row>
    <row r="8" spans="1:25" ht="25.5" x14ac:dyDescent="0.25">
      <c r="A8" s="387"/>
      <c r="B8" s="387"/>
      <c r="C8" s="52" t="s">
        <v>14</v>
      </c>
      <c r="D8" s="52" t="s">
        <v>15</v>
      </c>
      <c r="E8" s="52" t="s">
        <v>16</v>
      </c>
      <c r="F8" s="52" t="s">
        <v>17</v>
      </c>
      <c r="G8" s="52" t="s">
        <v>16</v>
      </c>
      <c r="H8" s="52" t="s">
        <v>18</v>
      </c>
      <c r="I8" s="52" t="s">
        <v>19</v>
      </c>
      <c r="J8" s="52" t="s">
        <v>20</v>
      </c>
      <c r="K8" s="52" t="s">
        <v>16</v>
      </c>
      <c r="L8" s="52" t="s">
        <v>21</v>
      </c>
      <c r="M8" s="54" t="s">
        <v>16</v>
      </c>
      <c r="N8" s="54" t="s">
        <v>22</v>
      </c>
      <c r="O8" s="54" t="s">
        <v>16</v>
      </c>
      <c r="P8" s="52" t="s">
        <v>21</v>
      </c>
      <c r="Q8" s="52" t="s">
        <v>16</v>
      </c>
      <c r="R8" s="52" t="s">
        <v>42</v>
      </c>
      <c r="S8" s="52" t="s">
        <v>23</v>
      </c>
      <c r="T8" s="157" t="s">
        <v>296</v>
      </c>
      <c r="U8" s="157" t="s">
        <v>297</v>
      </c>
      <c r="V8" s="52" t="s">
        <v>21</v>
      </c>
      <c r="W8" s="52" t="s">
        <v>16</v>
      </c>
      <c r="X8" s="388"/>
    </row>
    <row r="10" spans="1:25" x14ac:dyDescent="0.25">
      <c r="A10" s="55" t="s">
        <v>43</v>
      </c>
    </row>
    <row r="11" spans="1:25" x14ac:dyDescent="0.25">
      <c r="A11" s="254">
        <v>1</v>
      </c>
      <c r="B11" s="246" t="s">
        <v>203</v>
      </c>
      <c r="C11" s="249">
        <v>10.38</v>
      </c>
      <c r="D11" s="247">
        <v>100</v>
      </c>
      <c r="E11" s="247">
        <v>10</v>
      </c>
      <c r="F11" s="247">
        <v>9</v>
      </c>
      <c r="G11" s="247">
        <v>9</v>
      </c>
      <c r="H11" s="247">
        <v>71</v>
      </c>
      <c r="I11" s="247">
        <v>199</v>
      </c>
      <c r="J11" s="251">
        <v>810</v>
      </c>
      <c r="K11" s="247">
        <v>9</v>
      </c>
      <c r="L11" s="250">
        <v>12.46</v>
      </c>
      <c r="M11" s="247">
        <v>6</v>
      </c>
      <c r="N11" s="250">
        <v>44.39</v>
      </c>
      <c r="O11" s="247">
        <v>6</v>
      </c>
      <c r="P11" s="250">
        <v>25.73</v>
      </c>
      <c r="Q11" s="247">
        <v>8</v>
      </c>
      <c r="R11" s="250">
        <v>40.75</v>
      </c>
      <c r="S11" s="252">
        <v>398</v>
      </c>
      <c r="T11" s="252" t="s">
        <v>371</v>
      </c>
      <c r="U11" s="252" t="s">
        <v>341</v>
      </c>
      <c r="V11" s="250">
        <v>68.14</v>
      </c>
      <c r="W11" s="247">
        <v>6</v>
      </c>
      <c r="X11" s="247">
        <f>SUM(E11+F11+K11+M11+O11+Q11+W11)</f>
        <v>54</v>
      </c>
      <c r="Y11" s="62">
        <f>SUM(X11:X14)/4</f>
        <v>55.25</v>
      </c>
    </row>
    <row r="12" spans="1:25" x14ac:dyDescent="0.25">
      <c r="A12" s="254">
        <v>2</v>
      </c>
      <c r="B12" s="246" t="s">
        <v>204</v>
      </c>
      <c r="C12" s="249">
        <v>9.7799999999999994</v>
      </c>
      <c r="D12" s="247">
        <v>100</v>
      </c>
      <c r="E12" s="247">
        <v>10</v>
      </c>
      <c r="F12" s="247">
        <v>9</v>
      </c>
      <c r="G12" s="247">
        <v>9</v>
      </c>
      <c r="H12" s="247">
        <v>76</v>
      </c>
      <c r="I12" s="247">
        <v>202</v>
      </c>
      <c r="J12" s="251">
        <v>831</v>
      </c>
      <c r="K12" s="247">
        <v>9</v>
      </c>
      <c r="L12" s="250">
        <v>12.48</v>
      </c>
      <c r="M12" s="247">
        <v>6</v>
      </c>
      <c r="N12" s="250">
        <v>37.81</v>
      </c>
      <c r="O12" s="247">
        <v>4</v>
      </c>
      <c r="P12" s="250">
        <v>26.65</v>
      </c>
      <c r="Q12" s="247">
        <v>8</v>
      </c>
      <c r="R12" s="250">
        <v>42.74</v>
      </c>
      <c r="S12" s="252">
        <v>343</v>
      </c>
      <c r="T12" s="252" t="s">
        <v>340</v>
      </c>
      <c r="U12" s="252" t="s">
        <v>341</v>
      </c>
      <c r="V12" s="250">
        <v>69.03</v>
      </c>
      <c r="W12" s="247">
        <v>7</v>
      </c>
      <c r="X12" s="247">
        <f t="shared" ref="X12:X21" si="0">SUM(E12+F12+K12+M12+O12+Q12+W12)</f>
        <v>53</v>
      </c>
    </row>
    <row r="13" spans="1:25" x14ac:dyDescent="0.25">
      <c r="A13" s="254">
        <v>3</v>
      </c>
      <c r="B13" s="246" t="s">
        <v>205</v>
      </c>
      <c r="C13" s="249">
        <v>7.17</v>
      </c>
      <c r="D13" s="247">
        <v>100</v>
      </c>
      <c r="E13" s="247">
        <v>10</v>
      </c>
      <c r="F13" s="247">
        <v>9</v>
      </c>
      <c r="G13" s="247">
        <v>9</v>
      </c>
      <c r="H13" s="247">
        <v>58</v>
      </c>
      <c r="I13" s="247">
        <v>195</v>
      </c>
      <c r="J13" s="251">
        <v>831</v>
      </c>
      <c r="K13" s="247">
        <v>9</v>
      </c>
      <c r="L13" s="250">
        <v>12.68</v>
      </c>
      <c r="M13" s="247">
        <v>6</v>
      </c>
      <c r="N13" s="250">
        <v>44.48</v>
      </c>
      <c r="O13" s="247">
        <v>6</v>
      </c>
      <c r="P13" s="250">
        <v>27.09</v>
      </c>
      <c r="Q13" s="247">
        <v>8</v>
      </c>
      <c r="R13" s="250">
        <v>45.2</v>
      </c>
      <c r="S13" s="252">
        <v>360</v>
      </c>
      <c r="T13" s="252" t="s">
        <v>372</v>
      </c>
      <c r="U13" s="252" t="s">
        <v>341</v>
      </c>
      <c r="V13" s="250">
        <v>69.41</v>
      </c>
      <c r="W13" s="247">
        <v>8</v>
      </c>
      <c r="X13" s="247">
        <f t="shared" si="0"/>
        <v>56</v>
      </c>
    </row>
    <row r="14" spans="1:25" x14ac:dyDescent="0.25">
      <c r="A14" s="254">
        <v>4</v>
      </c>
      <c r="B14" s="246" t="s">
        <v>206</v>
      </c>
      <c r="C14" s="249">
        <v>9.67</v>
      </c>
      <c r="D14" s="247">
        <v>100</v>
      </c>
      <c r="E14" s="247">
        <v>10</v>
      </c>
      <c r="F14" s="247">
        <v>9</v>
      </c>
      <c r="G14" s="247">
        <v>9</v>
      </c>
      <c r="H14" s="247">
        <v>84</v>
      </c>
      <c r="I14" s="247">
        <v>196</v>
      </c>
      <c r="J14" s="251">
        <v>821</v>
      </c>
      <c r="K14" s="247">
        <v>9</v>
      </c>
      <c r="L14" s="250">
        <v>12.32</v>
      </c>
      <c r="M14" s="247">
        <v>6</v>
      </c>
      <c r="N14" s="250">
        <v>49.25</v>
      </c>
      <c r="O14" s="247">
        <v>7</v>
      </c>
      <c r="P14" s="250">
        <v>25.74</v>
      </c>
      <c r="Q14" s="247">
        <v>8</v>
      </c>
      <c r="R14" s="250">
        <v>40.25</v>
      </c>
      <c r="S14" s="252">
        <v>382</v>
      </c>
      <c r="T14" s="252" t="s">
        <v>373</v>
      </c>
      <c r="U14" s="252" t="s">
        <v>341</v>
      </c>
      <c r="V14" s="250">
        <v>70.27</v>
      </c>
      <c r="W14" s="247">
        <v>9</v>
      </c>
      <c r="X14" s="247">
        <f t="shared" si="0"/>
        <v>58</v>
      </c>
    </row>
    <row r="15" spans="1:25" s="87" customFormat="1" x14ac:dyDescent="0.25">
      <c r="A15" s="271"/>
      <c r="B15" s="272" t="s">
        <v>300</v>
      </c>
      <c r="C15" s="273">
        <f>SUM(C11:C14)/4</f>
        <v>9.25</v>
      </c>
      <c r="D15" s="274">
        <v>100</v>
      </c>
      <c r="E15" s="274">
        <v>10</v>
      </c>
      <c r="F15" s="275">
        <f>SUM(F11:F14)/4</f>
        <v>9</v>
      </c>
      <c r="G15" s="275">
        <v>9</v>
      </c>
      <c r="H15" s="275">
        <f>SUM(H11:H14)/4</f>
        <v>72.25</v>
      </c>
      <c r="I15" s="275">
        <f>SUM(I11:I14)/4</f>
        <v>198</v>
      </c>
      <c r="J15" s="275">
        <f>SUM(J11:J14)/4</f>
        <v>823.25</v>
      </c>
      <c r="K15" s="275">
        <v>9</v>
      </c>
      <c r="L15" s="276">
        <f>SUM(L11:L14)/4</f>
        <v>12.485000000000001</v>
      </c>
      <c r="M15" s="275">
        <v>6</v>
      </c>
      <c r="N15" s="276">
        <f>SUM(N11:N14)/4</f>
        <v>43.982500000000002</v>
      </c>
      <c r="O15" s="275">
        <v>6</v>
      </c>
      <c r="P15" s="276">
        <f>SUM(P11:P14)/4</f>
        <v>26.302499999999998</v>
      </c>
      <c r="Q15" s="275">
        <v>8</v>
      </c>
      <c r="R15" s="276">
        <f>SUM(R11:R14)/4</f>
        <v>42.234999999999999</v>
      </c>
      <c r="S15" s="275">
        <f>SUM(S11:S14)/4</f>
        <v>370.75</v>
      </c>
      <c r="T15" s="277"/>
      <c r="U15" s="277"/>
      <c r="V15" s="276">
        <f>SUM(V11:V14)/4</f>
        <v>69.212500000000006</v>
      </c>
      <c r="W15" s="275">
        <v>8</v>
      </c>
      <c r="X15" s="274">
        <f t="shared" si="0"/>
        <v>56</v>
      </c>
    </row>
    <row r="16" spans="1:25" x14ac:dyDescent="0.25">
      <c r="A16" s="179">
        <v>5</v>
      </c>
      <c r="B16" s="39" t="s">
        <v>207</v>
      </c>
      <c r="C16" s="188">
        <v>10.31</v>
      </c>
      <c r="D16" s="189">
        <f>C16*100/AVERAGE($C$11:$C$14)</f>
        <v>111.45945945945945</v>
      </c>
      <c r="E16" s="41">
        <v>12</v>
      </c>
      <c r="F16" s="41">
        <v>9</v>
      </c>
      <c r="G16" s="41">
        <v>9</v>
      </c>
      <c r="H16" s="41">
        <v>73</v>
      </c>
      <c r="I16" s="41">
        <v>201</v>
      </c>
      <c r="J16" s="186">
        <v>813</v>
      </c>
      <c r="K16" s="41">
        <v>9</v>
      </c>
      <c r="L16" s="187">
        <v>11.65</v>
      </c>
      <c r="M16" s="41">
        <v>5</v>
      </c>
      <c r="N16" s="187">
        <v>34.86</v>
      </c>
      <c r="O16" s="41">
        <v>3</v>
      </c>
      <c r="P16" s="187">
        <v>24</v>
      </c>
      <c r="Q16" s="41">
        <v>7</v>
      </c>
      <c r="R16" s="187">
        <v>27.89</v>
      </c>
      <c r="S16" s="193">
        <v>304</v>
      </c>
      <c r="T16" s="58" t="s">
        <v>339</v>
      </c>
      <c r="U16" s="194" t="s">
        <v>341</v>
      </c>
      <c r="V16" s="187">
        <v>69.34</v>
      </c>
      <c r="W16" s="41">
        <v>8</v>
      </c>
      <c r="X16" s="41">
        <f t="shared" si="0"/>
        <v>53</v>
      </c>
    </row>
    <row r="17" spans="1:25" x14ac:dyDescent="0.25">
      <c r="A17" s="179">
        <v>6</v>
      </c>
      <c r="B17" s="39" t="s">
        <v>367</v>
      </c>
      <c r="C17" s="188">
        <v>10.72</v>
      </c>
      <c r="D17" s="189">
        <f t="shared" ref="D17:D22" si="1">C17*100/AVERAGE($C$11:$C$14)</f>
        <v>115.89189189189189</v>
      </c>
      <c r="E17" s="41">
        <v>14</v>
      </c>
      <c r="F17" s="41">
        <v>9</v>
      </c>
      <c r="G17" s="41">
        <v>9</v>
      </c>
      <c r="H17" s="41">
        <v>71</v>
      </c>
      <c r="I17" s="41">
        <v>199</v>
      </c>
      <c r="J17" s="186">
        <v>792</v>
      </c>
      <c r="K17" s="41">
        <v>8</v>
      </c>
      <c r="L17" s="187">
        <v>11.88</v>
      </c>
      <c r="M17" s="41">
        <v>5</v>
      </c>
      <c r="N17" s="187">
        <v>45.91</v>
      </c>
      <c r="O17" s="41">
        <v>6</v>
      </c>
      <c r="P17" s="187">
        <v>24.16</v>
      </c>
      <c r="Q17" s="41">
        <v>7</v>
      </c>
      <c r="R17" s="187">
        <v>34.65</v>
      </c>
      <c r="S17" s="194">
        <v>366</v>
      </c>
      <c r="T17" s="59" t="s">
        <v>371</v>
      </c>
      <c r="U17" s="194" t="s">
        <v>341</v>
      </c>
      <c r="V17" s="187">
        <v>69.069999999999993</v>
      </c>
      <c r="W17" s="41">
        <v>7</v>
      </c>
      <c r="X17" s="41">
        <f t="shared" si="0"/>
        <v>56</v>
      </c>
    </row>
    <row r="18" spans="1:25" x14ac:dyDescent="0.25">
      <c r="A18" s="179">
        <v>7</v>
      </c>
      <c r="B18" s="39" t="s">
        <v>368</v>
      </c>
      <c r="C18" s="188">
        <v>10.27</v>
      </c>
      <c r="D18" s="189">
        <f t="shared" si="1"/>
        <v>111.02702702702703</v>
      </c>
      <c r="E18" s="41">
        <v>12</v>
      </c>
      <c r="F18" s="41">
        <v>9</v>
      </c>
      <c r="G18" s="41">
        <v>9</v>
      </c>
      <c r="H18" s="41">
        <v>77</v>
      </c>
      <c r="I18" s="41">
        <v>199</v>
      </c>
      <c r="J18" s="186">
        <v>812</v>
      </c>
      <c r="K18" s="41">
        <v>9</v>
      </c>
      <c r="L18" s="187">
        <v>11.72</v>
      </c>
      <c r="M18" s="41">
        <v>5</v>
      </c>
      <c r="N18" s="187">
        <v>44.22</v>
      </c>
      <c r="O18" s="41">
        <v>6</v>
      </c>
      <c r="P18" s="187">
        <v>24.1</v>
      </c>
      <c r="Q18" s="41">
        <v>7</v>
      </c>
      <c r="R18" s="187">
        <v>31.72</v>
      </c>
      <c r="S18" s="194">
        <v>261</v>
      </c>
      <c r="T18" s="59" t="s">
        <v>371</v>
      </c>
      <c r="U18" s="194" t="s">
        <v>341</v>
      </c>
      <c r="V18" s="187">
        <v>68.97</v>
      </c>
      <c r="W18" s="41">
        <v>7</v>
      </c>
      <c r="X18" s="41">
        <f t="shared" si="0"/>
        <v>55</v>
      </c>
    </row>
    <row r="19" spans="1:25" x14ac:dyDescent="0.25">
      <c r="A19" s="179">
        <v>8</v>
      </c>
      <c r="B19" s="39" t="s">
        <v>369</v>
      </c>
      <c r="C19" s="188">
        <v>9.82</v>
      </c>
      <c r="D19" s="189">
        <f t="shared" si="1"/>
        <v>106.16216216216216</v>
      </c>
      <c r="E19" s="41">
        <v>12</v>
      </c>
      <c r="F19" s="41">
        <v>9</v>
      </c>
      <c r="G19" s="41">
        <v>9</v>
      </c>
      <c r="H19" s="41">
        <v>63</v>
      </c>
      <c r="I19" s="41">
        <v>197</v>
      </c>
      <c r="J19" s="186">
        <v>815</v>
      </c>
      <c r="K19" s="41">
        <v>9</v>
      </c>
      <c r="L19" s="187">
        <v>11.17</v>
      </c>
      <c r="M19" s="41">
        <v>4</v>
      </c>
      <c r="N19" s="187">
        <v>44.28</v>
      </c>
      <c r="O19" s="41">
        <v>6</v>
      </c>
      <c r="P19" s="187">
        <v>22.59</v>
      </c>
      <c r="Q19" s="41">
        <v>5</v>
      </c>
      <c r="R19" s="187">
        <v>25.63</v>
      </c>
      <c r="S19" s="194">
        <v>316</v>
      </c>
      <c r="T19" s="59" t="s">
        <v>374</v>
      </c>
      <c r="U19" s="194" t="s">
        <v>341</v>
      </c>
      <c r="V19" s="187">
        <v>70.05</v>
      </c>
      <c r="W19" s="41">
        <v>9</v>
      </c>
      <c r="X19" s="41">
        <f t="shared" si="0"/>
        <v>54</v>
      </c>
    </row>
    <row r="20" spans="1:25" x14ac:dyDescent="0.25">
      <c r="A20" s="179">
        <v>9</v>
      </c>
      <c r="B20" s="39" t="s">
        <v>208</v>
      </c>
      <c r="C20" s="188">
        <v>11.03</v>
      </c>
      <c r="D20" s="189">
        <f t="shared" si="1"/>
        <v>119.24324324324324</v>
      </c>
      <c r="E20" s="41">
        <v>14</v>
      </c>
      <c r="F20" s="41">
        <v>9</v>
      </c>
      <c r="G20" s="41">
        <v>9</v>
      </c>
      <c r="H20" s="41">
        <v>69</v>
      </c>
      <c r="I20" s="41">
        <v>199</v>
      </c>
      <c r="J20" s="186">
        <v>785</v>
      </c>
      <c r="K20" s="41">
        <v>7</v>
      </c>
      <c r="L20" s="187">
        <v>11.1</v>
      </c>
      <c r="M20" s="41">
        <v>4</v>
      </c>
      <c r="N20" s="187">
        <v>41.19</v>
      </c>
      <c r="O20" s="41">
        <v>5</v>
      </c>
      <c r="P20" s="187">
        <v>22.13</v>
      </c>
      <c r="Q20" s="41">
        <v>5</v>
      </c>
      <c r="R20" s="187">
        <v>26.3</v>
      </c>
      <c r="S20" s="194">
        <v>300</v>
      </c>
      <c r="T20" s="59" t="s">
        <v>371</v>
      </c>
      <c r="U20" s="194" t="s">
        <v>341</v>
      </c>
      <c r="V20" s="187">
        <v>69.87</v>
      </c>
      <c r="W20" s="41">
        <v>8</v>
      </c>
      <c r="X20" s="41">
        <f t="shared" si="0"/>
        <v>52</v>
      </c>
    </row>
    <row r="21" spans="1:25" x14ac:dyDescent="0.25">
      <c r="A21" s="179">
        <v>10</v>
      </c>
      <c r="B21" s="39" t="s">
        <v>209</v>
      </c>
      <c r="C21" s="188">
        <v>10.29</v>
      </c>
      <c r="D21" s="189">
        <f t="shared" si="1"/>
        <v>111.24324324324324</v>
      </c>
      <c r="E21" s="41">
        <v>12</v>
      </c>
      <c r="F21" s="41">
        <v>9</v>
      </c>
      <c r="G21" s="41">
        <v>9</v>
      </c>
      <c r="H21" s="41">
        <v>69</v>
      </c>
      <c r="I21" s="41">
        <v>201</v>
      </c>
      <c r="J21" s="186">
        <v>823</v>
      </c>
      <c r="K21" s="41">
        <v>9</v>
      </c>
      <c r="L21" s="187">
        <v>13.13</v>
      </c>
      <c r="M21" s="41">
        <v>7</v>
      </c>
      <c r="N21" s="187">
        <v>46.8</v>
      </c>
      <c r="O21" s="41">
        <v>6</v>
      </c>
      <c r="P21" s="187">
        <v>27.45</v>
      </c>
      <c r="Q21" s="41">
        <v>8</v>
      </c>
      <c r="R21" s="187">
        <v>39.020000000000003</v>
      </c>
      <c r="S21" s="194">
        <v>367</v>
      </c>
      <c r="T21" s="59" t="s">
        <v>339</v>
      </c>
      <c r="U21" s="194" t="s">
        <v>341</v>
      </c>
      <c r="V21" s="187">
        <v>66.41</v>
      </c>
      <c r="W21" s="41">
        <v>4</v>
      </c>
      <c r="X21" s="41">
        <f t="shared" si="0"/>
        <v>55</v>
      </c>
    </row>
    <row r="22" spans="1:25" x14ac:dyDescent="0.25">
      <c r="A22" s="179">
        <v>11</v>
      </c>
      <c r="B22" s="39" t="s">
        <v>370</v>
      </c>
      <c r="C22" s="188">
        <v>9.58</v>
      </c>
      <c r="D22" s="189">
        <f t="shared" si="1"/>
        <v>103.56756756756756</v>
      </c>
      <c r="E22" s="41">
        <v>10</v>
      </c>
      <c r="F22" s="41">
        <v>9</v>
      </c>
      <c r="G22" s="41">
        <v>9</v>
      </c>
      <c r="H22" s="41">
        <v>85</v>
      </c>
      <c r="I22" s="41">
        <v>199</v>
      </c>
      <c r="J22" s="186">
        <v>784</v>
      </c>
      <c r="K22" s="41">
        <v>7</v>
      </c>
      <c r="L22" s="187">
        <v>11.74</v>
      </c>
      <c r="M22" s="41">
        <v>5</v>
      </c>
      <c r="N22" s="187">
        <v>45.97</v>
      </c>
      <c r="O22" s="41">
        <v>6</v>
      </c>
      <c r="P22" s="187">
        <v>24.82</v>
      </c>
      <c r="Q22" s="41">
        <v>7</v>
      </c>
      <c r="R22" s="187">
        <v>34.950000000000003</v>
      </c>
      <c r="S22" s="194">
        <v>327</v>
      </c>
      <c r="T22" s="59" t="s">
        <v>371</v>
      </c>
      <c r="U22" s="194" t="s">
        <v>341</v>
      </c>
      <c r="V22" s="187">
        <v>70.03</v>
      </c>
      <c r="W22" s="41">
        <v>8</v>
      </c>
      <c r="X22" s="41">
        <f>SUM(E22+F22+K22+M22+O22+Q22+W22)</f>
        <v>52</v>
      </c>
    </row>
    <row r="23" spans="1:25" x14ac:dyDescent="0.25">
      <c r="K23" s="181"/>
      <c r="L23" s="182"/>
      <c r="M23" s="181"/>
    </row>
    <row r="24" spans="1:25" x14ac:dyDescent="0.25">
      <c r="A24" s="55" t="s">
        <v>81</v>
      </c>
    </row>
    <row r="25" spans="1:25" x14ac:dyDescent="0.25">
      <c r="A25" s="254">
        <v>1</v>
      </c>
      <c r="B25" s="246" t="s">
        <v>203</v>
      </c>
      <c r="C25" s="249">
        <v>7.25</v>
      </c>
      <c r="D25" s="247">
        <v>100</v>
      </c>
      <c r="E25" s="247">
        <v>10</v>
      </c>
      <c r="F25" s="247">
        <v>9</v>
      </c>
      <c r="G25" s="247">
        <v>9</v>
      </c>
      <c r="H25" s="247">
        <v>70</v>
      </c>
      <c r="I25" s="247">
        <v>214</v>
      </c>
      <c r="J25" s="255">
        <v>773</v>
      </c>
      <c r="K25" s="247">
        <v>7</v>
      </c>
      <c r="L25" s="256">
        <v>15.25</v>
      </c>
      <c r="M25" s="247">
        <v>8</v>
      </c>
      <c r="N25" s="250">
        <v>48.3</v>
      </c>
      <c r="O25" s="247">
        <v>7</v>
      </c>
      <c r="P25" s="256">
        <v>31.69</v>
      </c>
      <c r="Q25" s="247">
        <v>9</v>
      </c>
      <c r="R25" s="256">
        <v>59.61</v>
      </c>
      <c r="S25" s="255">
        <v>379</v>
      </c>
      <c r="T25" s="255" t="s">
        <v>386</v>
      </c>
      <c r="U25" s="255" t="s">
        <v>184</v>
      </c>
      <c r="V25" s="256">
        <v>64.099999999999994</v>
      </c>
      <c r="W25" s="247">
        <v>1</v>
      </c>
      <c r="X25" s="247">
        <f>SUM(E25+F25+K25+M25+O25+Q25+W25)</f>
        <v>51</v>
      </c>
      <c r="Y25">
        <f>SUM(X25:X28)/4</f>
        <v>52.5</v>
      </c>
    </row>
    <row r="26" spans="1:25" x14ac:dyDescent="0.25">
      <c r="A26" s="254">
        <v>2</v>
      </c>
      <c r="B26" s="246" t="s">
        <v>204</v>
      </c>
      <c r="C26" s="249">
        <v>7.36</v>
      </c>
      <c r="D26" s="247">
        <v>100</v>
      </c>
      <c r="E26" s="247">
        <v>10</v>
      </c>
      <c r="F26" s="247">
        <v>9</v>
      </c>
      <c r="G26" s="247">
        <v>9</v>
      </c>
      <c r="H26" s="247">
        <v>68</v>
      </c>
      <c r="I26" s="247">
        <v>214</v>
      </c>
      <c r="J26" s="252">
        <v>813</v>
      </c>
      <c r="K26" s="247">
        <v>9</v>
      </c>
      <c r="L26" s="257">
        <v>14.62</v>
      </c>
      <c r="M26" s="247">
        <v>8</v>
      </c>
      <c r="N26" s="250">
        <v>42.7</v>
      </c>
      <c r="O26" s="247">
        <v>5</v>
      </c>
      <c r="P26" s="257">
        <v>30.73</v>
      </c>
      <c r="Q26" s="247">
        <v>9</v>
      </c>
      <c r="R26" s="257">
        <v>56.81</v>
      </c>
      <c r="S26" s="252">
        <v>375</v>
      </c>
      <c r="T26" s="252" t="s">
        <v>386</v>
      </c>
      <c r="U26" s="255" t="s">
        <v>184</v>
      </c>
      <c r="V26" s="257">
        <v>65.239999999999995</v>
      </c>
      <c r="W26" s="247">
        <v>2</v>
      </c>
      <c r="X26" s="247">
        <f t="shared" ref="X26:X36" si="2">SUM(E26+F26+K26+M26+O26+Q26+W26)</f>
        <v>52</v>
      </c>
    </row>
    <row r="27" spans="1:25" x14ac:dyDescent="0.25">
      <c r="A27" s="254">
        <v>3</v>
      </c>
      <c r="B27" s="246" t="s">
        <v>205</v>
      </c>
      <c r="C27" s="249">
        <v>4.8600000000000003</v>
      </c>
      <c r="D27" s="247">
        <v>100</v>
      </c>
      <c r="E27" s="247">
        <v>10</v>
      </c>
      <c r="F27" s="247">
        <v>9</v>
      </c>
      <c r="G27" s="247">
        <v>9</v>
      </c>
      <c r="H27" s="247">
        <v>50</v>
      </c>
      <c r="I27" s="247">
        <v>198</v>
      </c>
      <c r="J27" s="252">
        <v>799</v>
      </c>
      <c r="K27" s="247">
        <v>8</v>
      </c>
      <c r="L27" s="257">
        <v>15.67</v>
      </c>
      <c r="M27" s="247">
        <v>8</v>
      </c>
      <c r="N27" s="250">
        <v>46.8</v>
      </c>
      <c r="O27" s="247">
        <v>6</v>
      </c>
      <c r="P27" s="257">
        <v>34.57</v>
      </c>
      <c r="Q27" s="247">
        <v>9</v>
      </c>
      <c r="R27" s="257">
        <v>64.45</v>
      </c>
      <c r="S27" s="252">
        <v>378</v>
      </c>
      <c r="T27" s="252" t="s">
        <v>387</v>
      </c>
      <c r="U27" s="255" t="s">
        <v>184</v>
      </c>
      <c r="V27" s="257">
        <v>64.680000000000007</v>
      </c>
      <c r="W27" s="247">
        <v>1</v>
      </c>
      <c r="X27" s="247">
        <f t="shared" si="2"/>
        <v>51</v>
      </c>
    </row>
    <row r="28" spans="1:25" x14ac:dyDescent="0.25">
      <c r="A28" s="254">
        <v>4</v>
      </c>
      <c r="B28" s="246" t="s">
        <v>206</v>
      </c>
      <c r="C28" s="249">
        <v>6.97</v>
      </c>
      <c r="D28" s="247">
        <v>100</v>
      </c>
      <c r="E28" s="247">
        <v>10</v>
      </c>
      <c r="F28" s="247">
        <v>9</v>
      </c>
      <c r="G28" s="247">
        <v>9</v>
      </c>
      <c r="H28" s="247">
        <v>77</v>
      </c>
      <c r="I28" s="247">
        <v>198</v>
      </c>
      <c r="J28" s="252">
        <v>801</v>
      </c>
      <c r="K28" s="247">
        <v>9</v>
      </c>
      <c r="L28" s="257">
        <v>14.7</v>
      </c>
      <c r="M28" s="247">
        <v>8</v>
      </c>
      <c r="N28" s="250">
        <v>51.9</v>
      </c>
      <c r="O28" s="247">
        <v>8</v>
      </c>
      <c r="P28" s="257">
        <v>31.56</v>
      </c>
      <c r="Q28" s="247">
        <v>9</v>
      </c>
      <c r="R28" s="257">
        <v>56.61</v>
      </c>
      <c r="S28" s="252">
        <v>387</v>
      </c>
      <c r="T28" s="252" t="s">
        <v>387</v>
      </c>
      <c r="U28" s="255" t="s">
        <v>184</v>
      </c>
      <c r="V28" s="257">
        <v>65.67</v>
      </c>
      <c r="W28" s="247">
        <v>3</v>
      </c>
      <c r="X28" s="247">
        <f t="shared" si="2"/>
        <v>56</v>
      </c>
    </row>
    <row r="29" spans="1:25" s="87" customFormat="1" x14ac:dyDescent="0.25">
      <c r="A29" s="271"/>
      <c r="B29" s="272" t="s">
        <v>300</v>
      </c>
      <c r="C29" s="273">
        <f>SUM(C25:C28)/4</f>
        <v>6.6099999999999994</v>
      </c>
      <c r="D29" s="274">
        <v>100</v>
      </c>
      <c r="E29" s="274">
        <v>10</v>
      </c>
      <c r="F29" s="275">
        <f t="shared" ref="F29:L29" si="3">SUM(F25:F28)/4</f>
        <v>9</v>
      </c>
      <c r="G29" s="275">
        <f t="shared" si="3"/>
        <v>9</v>
      </c>
      <c r="H29" s="275">
        <f t="shared" si="3"/>
        <v>66.25</v>
      </c>
      <c r="I29" s="275">
        <f t="shared" si="3"/>
        <v>206</v>
      </c>
      <c r="J29" s="275">
        <f t="shared" si="3"/>
        <v>796.5</v>
      </c>
      <c r="K29" s="275">
        <v>8</v>
      </c>
      <c r="L29" s="276">
        <f t="shared" si="3"/>
        <v>15.059999999999999</v>
      </c>
      <c r="M29" s="275">
        <v>8</v>
      </c>
      <c r="N29" s="276">
        <f>SUM(N25:N28)/4</f>
        <v>47.425000000000004</v>
      </c>
      <c r="O29" s="276">
        <v>7</v>
      </c>
      <c r="P29" s="276">
        <f t="shared" ref="P29" si="4">SUM(P25:P28)/4</f>
        <v>32.137500000000003</v>
      </c>
      <c r="Q29" s="275">
        <v>9</v>
      </c>
      <c r="R29" s="276">
        <f t="shared" ref="R29:S29" si="5">SUM(R25:R28)/4</f>
        <v>59.370000000000005</v>
      </c>
      <c r="S29" s="275">
        <f t="shared" si="5"/>
        <v>379.75</v>
      </c>
      <c r="T29" s="278"/>
      <c r="U29" s="279"/>
      <c r="V29" s="276">
        <f t="shared" ref="V29" si="6">SUM(V25:V28)/4</f>
        <v>64.922499999999999</v>
      </c>
      <c r="W29" s="275">
        <v>1</v>
      </c>
      <c r="X29" s="274">
        <f t="shared" si="2"/>
        <v>52</v>
      </c>
    </row>
    <row r="30" spans="1:25" x14ac:dyDescent="0.25">
      <c r="A30" s="179">
        <v>5</v>
      </c>
      <c r="B30" s="39" t="s">
        <v>207</v>
      </c>
      <c r="C30" s="188">
        <v>7.4</v>
      </c>
      <c r="D30" s="189">
        <f>C30*100/AVERAGE($C$25:$C$28)</f>
        <v>111.9515885022693</v>
      </c>
      <c r="E30" s="41">
        <v>12</v>
      </c>
      <c r="F30" s="41">
        <v>9</v>
      </c>
      <c r="G30" s="41">
        <v>9</v>
      </c>
      <c r="H30" s="41">
        <v>66</v>
      </c>
      <c r="I30" s="41">
        <v>214</v>
      </c>
      <c r="J30" s="193">
        <v>801</v>
      </c>
      <c r="K30" s="41">
        <v>9</v>
      </c>
      <c r="L30" s="57">
        <v>15.25</v>
      </c>
      <c r="M30" s="41">
        <v>8</v>
      </c>
      <c r="N30" s="45">
        <v>39.9</v>
      </c>
      <c r="O30" s="41">
        <v>5</v>
      </c>
      <c r="P30" s="57">
        <v>28.67</v>
      </c>
      <c r="Q30" s="41">
        <v>8</v>
      </c>
      <c r="R30" s="57">
        <v>46.34</v>
      </c>
      <c r="S30" s="193">
        <v>353</v>
      </c>
      <c r="T30" s="58" t="s">
        <v>386</v>
      </c>
      <c r="U30" s="183" t="s">
        <v>184</v>
      </c>
      <c r="V30" s="57">
        <v>66.69</v>
      </c>
      <c r="W30" s="41">
        <v>4</v>
      </c>
      <c r="X30" s="41">
        <f t="shared" si="2"/>
        <v>55</v>
      </c>
    </row>
    <row r="31" spans="1:25" x14ac:dyDescent="0.25">
      <c r="A31" s="179">
        <v>6</v>
      </c>
      <c r="B31" s="39" t="s">
        <v>367</v>
      </c>
      <c r="C31" s="188">
        <v>7.89</v>
      </c>
      <c r="D31" s="189">
        <f>C31*100/AVERAGE($C$25:$C$28)</f>
        <v>119.36459909228442</v>
      </c>
      <c r="E31" s="41">
        <v>14</v>
      </c>
      <c r="F31" s="41">
        <v>9</v>
      </c>
      <c r="G31" s="41">
        <v>9</v>
      </c>
      <c r="H31" s="41">
        <v>65</v>
      </c>
      <c r="I31" s="41">
        <v>214</v>
      </c>
      <c r="J31" s="193">
        <v>766</v>
      </c>
      <c r="K31" s="41">
        <v>6</v>
      </c>
      <c r="L31" s="57">
        <v>14.62</v>
      </c>
      <c r="M31" s="41">
        <v>8</v>
      </c>
      <c r="N31" s="45">
        <v>51.1</v>
      </c>
      <c r="O31" s="41">
        <v>8</v>
      </c>
      <c r="P31" s="57">
        <v>26.76</v>
      </c>
      <c r="Q31" s="41">
        <v>8</v>
      </c>
      <c r="R31" s="57">
        <v>40.549999999999997</v>
      </c>
      <c r="S31" s="194">
        <v>379</v>
      </c>
      <c r="T31" s="158" t="s">
        <v>386</v>
      </c>
      <c r="U31" s="183" t="s">
        <v>184</v>
      </c>
      <c r="V31" s="60">
        <v>66.19</v>
      </c>
      <c r="W31" s="41">
        <v>3</v>
      </c>
      <c r="X31" s="41">
        <f t="shared" si="2"/>
        <v>56</v>
      </c>
    </row>
    <row r="32" spans="1:25" x14ac:dyDescent="0.25">
      <c r="A32" s="179">
        <v>7</v>
      </c>
      <c r="B32" s="39" t="s">
        <v>368</v>
      </c>
      <c r="C32" s="188">
        <v>7.12</v>
      </c>
      <c r="D32" s="189">
        <f>C32*100/AVERAGE($C$25:$C$28)</f>
        <v>107.71558245083209</v>
      </c>
      <c r="E32" s="41">
        <v>12</v>
      </c>
      <c r="F32" s="41">
        <v>9</v>
      </c>
      <c r="G32" s="41">
        <v>9</v>
      </c>
      <c r="H32" s="41">
        <v>71</v>
      </c>
      <c r="I32" s="41">
        <v>214</v>
      </c>
      <c r="J32" s="193">
        <v>774</v>
      </c>
      <c r="K32" s="41">
        <v>7</v>
      </c>
      <c r="L32" s="57">
        <v>15.67</v>
      </c>
      <c r="M32" s="41">
        <v>8</v>
      </c>
      <c r="N32" s="45">
        <v>47.6</v>
      </c>
      <c r="O32" s="41">
        <v>6</v>
      </c>
      <c r="P32" s="57">
        <v>31.04</v>
      </c>
      <c r="Q32" s="41">
        <v>9</v>
      </c>
      <c r="R32" s="57">
        <v>46.46</v>
      </c>
      <c r="S32" s="194">
        <v>299</v>
      </c>
      <c r="T32" s="59" t="s">
        <v>386</v>
      </c>
      <c r="U32" s="183" t="s">
        <v>184</v>
      </c>
      <c r="V32" s="57">
        <v>64.58</v>
      </c>
      <c r="W32" s="41">
        <v>1</v>
      </c>
      <c r="X32" s="41">
        <f t="shared" si="2"/>
        <v>52</v>
      </c>
    </row>
    <row r="33" spans="1:25" x14ac:dyDescent="0.25">
      <c r="A33" s="179">
        <v>8</v>
      </c>
      <c r="B33" s="39" t="s">
        <v>369</v>
      </c>
      <c r="C33" s="188">
        <v>6.76</v>
      </c>
      <c r="D33" s="189">
        <f>C33*100/AVERAGE($C$25:$C$28)</f>
        <v>102.26928895612708</v>
      </c>
      <c r="E33" s="41">
        <v>10</v>
      </c>
      <c r="F33" s="41">
        <v>9</v>
      </c>
      <c r="G33" s="41">
        <v>9</v>
      </c>
      <c r="H33" s="41">
        <v>58</v>
      </c>
      <c r="I33" s="41">
        <v>214</v>
      </c>
      <c r="J33" s="193">
        <v>781</v>
      </c>
      <c r="K33" s="41">
        <v>7</v>
      </c>
      <c r="L33" s="57">
        <v>14.7</v>
      </c>
      <c r="M33" s="41">
        <v>8</v>
      </c>
      <c r="N33" s="45">
        <v>49.6</v>
      </c>
      <c r="O33" s="41">
        <v>7</v>
      </c>
      <c r="P33" s="57">
        <v>29.12</v>
      </c>
      <c r="Q33" s="41">
        <v>9</v>
      </c>
      <c r="R33" s="57">
        <v>41.59</v>
      </c>
      <c r="S33" s="194">
        <v>356</v>
      </c>
      <c r="T33" s="59" t="s">
        <v>386</v>
      </c>
      <c r="U33" s="183" t="s">
        <v>184</v>
      </c>
      <c r="V33" s="57">
        <v>66.459999999999994</v>
      </c>
      <c r="W33" s="41">
        <v>4</v>
      </c>
      <c r="X33" s="41">
        <f t="shared" si="2"/>
        <v>54</v>
      </c>
    </row>
    <row r="34" spans="1:25" x14ac:dyDescent="0.25">
      <c r="A34" s="179">
        <v>9</v>
      </c>
      <c r="B34" s="39" t="s">
        <v>208</v>
      </c>
      <c r="C34" s="188">
        <v>7.44</v>
      </c>
      <c r="D34" s="189">
        <f t="shared" ref="D34:D36" si="7">C34*100/AVERAGE($C$25:$C$28)</f>
        <v>112.55673222390318</v>
      </c>
      <c r="E34" s="41">
        <v>12</v>
      </c>
      <c r="F34" s="41">
        <v>9</v>
      </c>
      <c r="G34" s="41">
        <v>9</v>
      </c>
      <c r="H34" s="41">
        <v>63</v>
      </c>
      <c r="I34" s="41">
        <v>214</v>
      </c>
      <c r="J34" s="193">
        <v>772</v>
      </c>
      <c r="K34" s="41">
        <v>7</v>
      </c>
      <c r="L34" s="57">
        <v>12.53</v>
      </c>
      <c r="M34" s="41">
        <v>6</v>
      </c>
      <c r="N34" s="45">
        <v>47</v>
      </c>
      <c r="O34" s="41">
        <v>7</v>
      </c>
      <c r="P34" s="57">
        <v>24.44</v>
      </c>
      <c r="Q34" s="41">
        <v>7</v>
      </c>
      <c r="R34" s="57">
        <v>32.46</v>
      </c>
      <c r="S34" s="194">
        <v>363</v>
      </c>
      <c r="T34" s="59" t="s">
        <v>386</v>
      </c>
      <c r="U34" s="183" t="s">
        <v>184</v>
      </c>
      <c r="V34" s="57">
        <v>67.86</v>
      </c>
      <c r="W34" s="41">
        <v>6</v>
      </c>
      <c r="X34" s="41">
        <f t="shared" si="2"/>
        <v>54</v>
      </c>
    </row>
    <row r="35" spans="1:25" x14ac:dyDescent="0.25">
      <c r="A35" s="179">
        <v>10</v>
      </c>
      <c r="B35" s="39" t="s">
        <v>209</v>
      </c>
      <c r="C35" s="188">
        <v>7.81</v>
      </c>
      <c r="D35" s="189">
        <f t="shared" si="7"/>
        <v>118.15431164901665</v>
      </c>
      <c r="E35" s="41">
        <v>14</v>
      </c>
      <c r="F35" s="41">
        <v>9</v>
      </c>
      <c r="G35" s="41">
        <v>9</v>
      </c>
      <c r="H35" s="41">
        <v>66</v>
      </c>
      <c r="I35" s="41">
        <v>214</v>
      </c>
      <c r="J35" s="193">
        <v>802</v>
      </c>
      <c r="K35" s="41">
        <v>9</v>
      </c>
      <c r="L35" s="57">
        <v>14.81</v>
      </c>
      <c r="M35" s="41">
        <v>8</v>
      </c>
      <c r="N35" s="45">
        <v>50.2</v>
      </c>
      <c r="O35" s="41">
        <v>7</v>
      </c>
      <c r="P35" s="57">
        <v>32.5</v>
      </c>
      <c r="Q35" s="41">
        <v>9</v>
      </c>
      <c r="R35" s="57">
        <v>52.54</v>
      </c>
      <c r="S35" s="194">
        <v>386</v>
      </c>
      <c r="T35" s="59" t="s">
        <v>386</v>
      </c>
      <c r="U35" s="183" t="s">
        <v>184</v>
      </c>
      <c r="V35" s="57">
        <v>63.82</v>
      </c>
      <c r="W35" s="41">
        <v>1</v>
      </c>
      <c r="X35" s="41">
        <f t="shared" si="2"/>
        <v>57</v>
      </c>
    </row>
    <row r="36" spans="1:25" x14ac:dyDescent="0.25">
      <c r="A36" s="179">
        <v>11</v>
      </c>
      <c r="B36" s="39" t="s">
        <v>370</v>
      </c>
      <c r="C36" s="188">
        <v>7</v>
      </c>
      <c r="D36" s="189">
        <f t="shared" si="7"/>
        <v>105.90015128593042</v>
      </c>
      <c r="E36" s="41">
        <v>12</v>
      </c>
      <c r="F36" s="41">
        <v>9</v>
      </c>
      <c r="G36" s="41">
        <v>9</v>
      </c>
      <c r="H36" s="41">
        <v>78</v>
      </c>
      <c r="I36" s="41">
        <v>198</v>
      </c>
      <c r="J36" s="193">
        <v>765</v>
      </c>
      <c r="K36" s="41">
        <v>6</v>
      </c>
      <c r="L36" s="57">
        <v>13.56</v>
      </c>
      <c r="M36" s="41">
        <v>7</v>
      </c>
      <c r="N36" s="45">
        <v>50.1</v>
      </c>
      <c r="O36" s="41">
        <v>7</v>
      </c>
      <c r="P36" s="57">
        <v>27.78</v>
      </c>
      <c r="Q36" s="41">
        <v>8</v>
      </c>
      <c r="R36" s="57">
        <v>45.91</v>
      </c>
      <c r="S36" s="194">
        <v>368</v>
      </c>
      <c r="T36" s="59" t="s">
        <v>387</v>
      </c>
      <c r="U36" s="183" t="s">
        <v>184</v>
      </c>
      <c r="V36" s="57">
        <v>66.39</v>
      </c>
      <c r="W36" s="41">
        <v>4</v>
      </c>
      <c r="X36" s="41">
        <f t="shared" si="2"/>
        <v>53</v>
      </c>
    </row>
    <row r="38" spans="1:25" x14ac:dyDescent="0.25">
      <c r="A38" s="99" t="s">
        <v>64</v>
      </c>
    </row>
    <row r="39" spans="1:25" x14ac:dyDescent="0.25">
      <c r="A39" s="254">
        <v>1</v>
      </c>
      <c r="B39" s="246" t="s">
        <v>203</v>
      </c>
      <c r="C39" s="249">
        <v>5.3</v>
      </c>
      <c r="D39" s="247">
        <v>100</v>
      </c>
      <c r="E39" s="247">
        <v>10</v>
      </c>
      <c r="F39" s="247">
        <v>9</v>
      </c>
      <c r="G39" s="247">
        <v>9</v>
      </c>
      <c r="H39" s="247">
        <v>59</v>
      </c>
      <c r="I39" s="247">
        <v>204</v>
      </c>
      <c r="J39" s="252">
        <v>782</v>
      </c>
      <c r="K39" s="247">
        <v>7</v>
      </c>
      <c r="L39" s="256">
        <v>14.32</v>
      </c>
      <c r="M39" s="247">
        <v>8</v>
      </c>
      <c r="N39" s="250">
        <v>43.75</v>
      </c>
      <c r="O39" s="247">
        <v>6</v>
      </c>
      <c r="P39" s="256">
        <v>30.72</v>
      </c>
      <c r="Q39" s="247">
        <v>9</v>
      </c>
      <c r="R39" s="256">
        <v>54.89</v>
      </c>
      <c r="S39" s="255">
        <v>340</v>
      </c>
      <c r="T39" s="255" t="s">
        <v>341</v>
      </c>
      <c r="U39" s="255" t="s">
        <v>336</v>
      </c>
      <c r="V39" s="256">
        <v>66.239999999999995</v>
      </c>
      <c r="W39" s="247">
        <v>3</v>
      </c>
      <c r="X39" s="247">
        <f>SUM(E39+F39+K39+M39+O39+Q39+W39)</f>
        <v>52</v>
      </c>
      <c r="Y39">
        <f>SUM(X39:X42)/4</f>
        <v>51.5</v>
      </c>
    </row>
    <row r="40" spans="1:25" x14ac:dyDescent="0.25">
      <c r="A40" s="254">
        <v>2</v>
      </c>
      <c r="B40" s="246" t="s">
        <v>204</v>
      </c>
      <c r="C40" s="249">
        <v>4.6900000000000004</v>
      </c>
      <c r="D40" s="247">
        <v>100</v>
      </c>
      <c r="E40" s="247">
        <v>10</v>
      </c>
      <c r="F40" s="247">
        <v>9</v>
      </c>
      <c r="G40" s="247">
        <v>9</v>
      </c>
      <c r="H40" s="247">
        <v>59</v>
      </c>
      <c r="I40" s="247">
        <v>204</v>
      </c>
      <c r="J40" s="252">
        <v>815</v>
      </c>
      <c r="K40" s="247">
        <v>9</v>
      </c>
      <c r="L40" s="257">
        <v>15.71</v>
      </c>
      <c r="M40" s="247">
        <v>8</v>
      </c>
      <c r="N40" s="250">
        <v>39.33</v>
      </c>
      <c r="O40" s="247">
        <v>5</v>
      </c>
      <c r="P40" s="257">
        <v>35.19</v>
      </c>
      <c r="Q40" s="247">
        <v>9</v>
      </c>
      <c r="R40" s="257">
        <v>66.61</v>
      </c>
      <c r="S40" s="252">
        <v>196</v>
      </c>
      <c r="T40" s="252" t="s">
        <v>341</v>
      </c>
      <c r="U40" s="255" t="s">
        <v>336</v>
      </c>
      <c r="V40" s="257">
        <v>64.53</v>
      </c>
      <c r="W40" s="247">
        <v>1</v>
      </c>
      <c r="X40" s="247">
        <f t="shared" ref="X40:X50" si="8">SUM(E40+F40+K40+M40+O40+Q40+W40)</f>
        <v>51</v>
      </c>
    </row>
    <row r="41" spans="1:25" x14ac:dyDescent="0.25">
      <c r="A41" s="254">
        <v>3</v>
      </c>
      <c r="B41" s="246" t="s">
        <v>205</v>
      </c>
      <c r="C41" s="249">
        <v>2.69</v>
      </c>
      <c r="D41" s="247">
        <v>100</v>
      </c>
      <c r="E41" s="247">
        <v>10</v>
      </c>
      <c r="F41" s="247">
        <v>9</v>
      </c>
      <c r="G41" s="247">
        <v>9</v>
      </c>
      <c r="H41" s="247">
        <v>45</v>
      </c>
      <c r="I41" s="247">
        <v>199</v>
      </c>
      <c r="J41" s="252">
        <v>775</v>
      </c>
      <c r="K41" s="247">
        <v>7</v>
      </c>
      <c r="L41" s="257">
        <v>14.08</v>
      </c>
      <c r="M41" s="247">
        <v>8</v>
      </c>
      <c r="N41" s="250">
        <v>36.65</v>
      </c>
      <c r="O41" s="247">
        <v>4</v>
      </c>
      <c r="P41" s="257">
        <v>30.37</v>
      </c>
      <c r="Q41" s="247">
        <v>9</v>
      </c>
      <c r="R41" s="257">
        <v>52.54</v>
      </c>
      <c r="S41" s="252">
        <v>344</v>
      </c>
      <c r="T41" s="252" t="s">
        <v>371</v>
      </c>
      <c r="U41" s="255" t="s">
        <v>336</v>
      </c>
      <c r="V41" s="257">
        <v>66.45</v>
      </c>
      <c r="W41" s="247">
        <v>4</v>
      </c>
      <c r="X41" s="247">
        <f t="shared" si="8"/>
        <v>51</v>
      </c>
    </row>
    <row r="42" spans="1:25" x14ac:dyDescent="0.25">
      <c r="A42" s="254">
        <v>4</v>
      </c>
      <c r="B42" s="246" t="s">
        <v>206</v>
      </c>
      <c r="C42" s="249">
        <v>5.16</v>
      </c>
      <c r="D42" s="247">
        <v>100</v>
      </c>
      <c r="E42" s="247">
        <v>10</v>
      </c>
      <c r="F42" s="247">
        <v>9</v>
      </c>
      <c r="G42" s="247">
        <v>9</v>
      </c>
      <c r="H42" s="247">
        <v>67</v>
      </c>
      <c r="I42" s="247">
        <v>200</v>
      </c>
      <c r="J42" s="252">
        <v>779</v>
      </c>
      <c r="K42" s="247">
        <v>7</v>
      </c>
      <c r="L42" s="257">
        <v>13.69</v>
      </c>
      <c r="M42" s="247">
        <v>7</v>
      </c>
      <c r="N42" s="250">
        <v>41.83</v>
      </c>
      <c r="O42" s="247">
        <v>5</v>
      </c>
      <c r="P42" s="257">
        <v>29.35</v>
      </c>
      <c r="Q42" s="247">
        <v>9</v>
      </c>
      <c r="R42" s="257">
        <v>48.91</v>
      </c>
      <c r="S42" s="252">
        <v>280</v>
      </c>
      <c r="T42" s="252" t="s">
        <v>397</v>
      </c>
      <c r="U42" s="255" t="s">
        <v>336</v>
      </c>
      <c r="V42" s="257">
        <v>67.58</v>
      </c>
      <c r="W42" s="247">
        <v>5</v>
      </c>
      <c r="X42" s="247">
        <f t="shared" si="8"/>
        <v>52</v>
      </c>
    </row>
    <row r="43" spans="1:25" s="87" customFormat="1" x14ac:dyDescent="0.25">
      <c r="A43" s="271"/>
      <c r="B43" s="272" t="s">
        <v>300</v>
      </c>
      <c r="C43" s="273">
        <f>SUM(C39:C42)/4</f>
        <v>4.46</v>
      </c>
      <c r="D43" s="274">
        <v>100</v>
      </c>
      <c r="E43" s="274">
        <v>10</v>
      </c>
      <c r="F43" s="275">
        <f t="shared" ref="F43:H43" si="9">SUM(F39:F42)/4</f>
        <v>9</v>
      </c>
      <c r="G43" s="275">
        <f t="shared" si="9"/>
        <v>9</v>
      </c>
      <c r="H43" s="275">
        <f t="shared" si="9"/>
        <v>57.5</v>
      </c>
      <c r="I43" s="275">
        <f>SUM(I39:I42)/4</f>
        <v>201.75</v>
      </c>
      <c r="J43" s="275">
        <f>SUM(J39:J42)/4</f>
        <v>787.75</v>
      </c>
      <c r="K43" s="274">
        <v>8</v>
      </c>
      <c r="L43" s="276">
        <f>SUM(L39:L42)/4</f>
        <v>14.45</v>
      </c>
      <c r="M43" s="275">
        <v>8</v>
      </c>
      <c r="N43" s="276">
        <f>SUM(N39:N42)/4</f>
        <v>40.39</v>
      </c>
      <c r="O43" s="276">
        <v>5</v>
      </c>
      <c r="P43" s="276">
        <f>SUM(P39:P42)/4</f>
        <v>31.407499999999999</v>
      </c>
      <c r="Q43" s="275">
        <v>9</v>
      </c>
      <c r="R43" s="276">
        <f>SUM(R39:R42)/4</f>
        <v>55.737499999999997</v>
      </c>
      <c r="S43" s="275">
        <f>SUM(S39:S42)/4</f>
        <v>290</v>
      </c>
      <c r="T43" s="277"/>
      <c r="U43" s="280"/>
      <c r="V43" s="276">
        <f>SUM(V39:V42)/4</f>
        <v>66.199999999999989</v>
      </c>
      <c r="W43" s="274">
        <v>3</v>
      </c>
      <c r="X43" s="274">
        <f t="shared" si="8"/>
        <v>52</v>
      </c>
    </row>
    <row r="44" spans="1:25" x14ac:dyDescent="0.25">
      <c r="A44" s="179">
        <v>5</v>
      </c>
      <c r="B44" s="39" t="s">
        <v>207</v>
      </c>
      <c r="C44" s="188">
        <v>4.42</v>
      </c>
      <c r="D44" s="189">
        <f>C44*100/AVERAGE($C$39:$C42)</f>
        <v>99.103139013452918</v>
      </c>
      <c r="E44" s="41">
        <v>10</v>
      </c>
      <c r="F44" s="41">
        <v>9</v>
      </c>
      <c r="G44" s="41">
        <v>9</v>
      </c>
      <c r="H44" s="41">
        <v>55</v>
      </c>
      <c r="I44" s="41">
        <v>206</v>
      </c>
      <c r="J44" s="193">
        <v>792</v>
      </c>
      <c r="K44" s="41">
        <v>8</v>
      </c>
      <c r="L44" s="57">
        <v>14.03</v>
      </c>
      <c r="M44" s="41">
        <v>7</v>
      </c>
      <c r="N44" s="187">
        <v>33.590000000000003</v>
      </c>
      <c r="O44" s="41">
        <v>3</v>
      </c>
      <c r="P44" s="57">
        <v>29.79</v>
      </c>
      <c r="Q44" s="41">
        <v>9</v>
      </c>
      <c r="R44" s="57">
        <v>48.3</v>
      </c>
      <c r="S44" s="193">
        <v>143</v>
      </c>
      <c r="T44" s="58" t="s">
        <v>335</v>
      </c>
      <c r="U44" s="183" t="s">
        <v>336</v>
      </c>
      <c r="V44" s="57">
        <v>66.16</v>
      </c>
      <c r="W44" s="41">
        <v>3</v>
      </c>
      <c r="X44" s="41">
        <f t="shared" si="8"/>
        <v>49</v>
      </c>
    </row>
    <row r="45" spans="1:25" x14ac:dyDescent="0.25">
      <c r="A45" s="179">
        <v>6</v>
      </c>
      <c r="B45" s="39" t="s">
        <v>367</v>
      </c>
      <c r="C45" s="188">
        <v>4.1399999999999997</v>
      </c>
      <c r="D45" s="189">
        <f>C45*100/AVERAGE($C$39:$C42)</f>
        <v>92.825112107623312</v>
      </c>
      <c r="E45" s="41">
        <v>8</v>
      </c>
      <c r="F45" s="41">
        <v>9</v>
      </c>
      <c r="G45" s="41">
        <v>9</v>
      </c>
      <c r="H45" s="41">
        <v>55</v>
      </c>
      <c r="I45" s="41">
        <v>204</v>
      </c>
      <c r="J45" s="194">
        <v>751</v>
      </c>
      <c r="K45" s="41">
        <v>6</v>
      </c>
      <c r="L45" s="57">
        <v>12.93</v>
      </c>
      <c r="M45" s="41">
        <v>6</v>
      </c>
      <c r="N45" s="187">
        <v>39.479999999999997</v>
      </c>
      <c r="O45" s="41">
        <v>5</v>
      </c>
      <c r="P45" s="57">
        <v>26.23</v>
      </c>
      <c r="Q45" s="41">
        <v>8</v>
      </c>
      <c r="R45" s="57">
        <v>41.12</v>
      </c>
      <c r="S45" s="194">
        <v>290</v>
      </c>
      <c r="T45" s="158" t="s">
        <v>341</v>
      </c>
      <c r="U45" s="183" t="s">
        <v>336</v>
      </c>
      <c r="V45" s="60">
        <v>66.84</v>
      </c>
      <c r="W45" s="41">
        <v>4</v>
      </c>
      <c r="X45" s="185">
        <f t="shared" si="8"/>
        <v>46</v>
      </c>
    </row>
    <row r="46" spans="1:25" x14ac:dyDescent="0.25">
      <c r="A46" s="179">
        <v>7</v>
      </c>
      <c r="B46" s="39" t="s">
        <v>368</v>
      </c>
      <c r="C46" s="188">
        <v>3.49</v>
      </c>
      <c r="D46" s="189">
        <f>C46*100/AVERAGE($C$39:$C42)</f>
        <v>78.25112107623319</v>
      </c>
      <c r="E46" s="41">
        <v>6</v>
      </c>
      <c r="F46" s="41">
        <v>9</v>
      </c>
      <c r="G46" s="41">
        <v>9</v>
      </c>
      <c r="H46" s="41">
        <v>54</v>
      </c>
      <c r="I46" s="41">
        <v>206</v>
      </c>
      <c r="J46" s="193">
        <v>773</v>
      </c>
      <c r="K46" s="41">
        <v>7</v>
      </c>
      <c r="L46" s="57">
        <v>14.96</v>
      </c>
      <c r="M46" s="41">
        <v>8</v>
      </c>
      <c r="N46" s="187">
        <v>43.23</v>
      </c>
      <c r="O46" s="41">
        <v>6</v>
      </c>
      <c r="P46" s="57">
        <v>33.79</v>
      </c>
      <c r="Q46" s="41">
        <v>9</v>
      </c>
      <c r="R46" s="57">
        <v>56.31</v>
      </c>
      <c r="S46" s="194">
        <v>231</v>
      </c>
      <c r="T46" s="59" t="s">
        <v>335</v>
      </c>
      <c r="U46" s="183" t="s">
        <v>336</v>
      </c>
      <c r="V46" s="57">
        <v>64.34</v>
      </c>
      <c r="W46" s="41">
        <v>1</v>
      </c>
      <c r="X46" s="41">
        <f t="shared" si="8"/>
        <v>46</v>
      </c>
    </row>
    <row r="47" spans="1:25" x14ac:dyDescent="0.25">
      <c r="A47" s="179">
        <v>8</v>
      </c>
      <c r="B47" s="39" t="s">
        <v>369</v>
      </c>
      <c r="C47" s="188">
        <v>4.16</v>
      </c>
      <c r="D47" s="189">
        <f>C47*100/AVERAGE($C$39:$C42)</f>
        <v>93.27354260089686</v>
      </c>
      <c r="E47" s="41">
        <v>8</v>
      </c>
      <c r="F47" s="41">
        <v>9</v>
      </c>
      <c r="G47" s="41">
        <v>9</v>
      </c>
      <c r="H47" s="41">
        <v>51</v>
      </c>
      <c r="I47" s="41">
        <v>203</v>
      </c>
      <c r="J47" s="193">
        <v>765</v>
      </c>
      <c r="K47" s="41">
        <v>6</v>
      </c>
      <c r="L47" s="57">
        <v>12.55</v>
      </c>
      <c r="M47" s="41">
        <v>6</v>
      </c>
      <c r="N47" s="187">
        <v>39.619999999999997</v>
      </c>
      <c r="O47" s="41">
        <v>5</v>
      </c>
      <c r="P47" s="57">
        <v>24.87</v>
      </c>
      <c r="Q47" s="41">
        <v>7</v>
      </c>
      <c r="R47" s="57">
        <v>32.69</v>
      </c>
      <c r="S47" s="194">
        <v>232</v>
      </c>
      <c r="T47" s="59" t="s">
        <v>342</v>
      </c>
      <c r="U47" s="183" t="s">
        <v>336</v>
      </c>
      <c r="V47" s="57">
        <v>68</v>
      </c>
      <c r="W47" s="41">
        <v>6</v>
      </c>
      <c r="X47" s="41">
        <f t="shared" si="8"/>
        <v>47</v>
      </c>
    </row>
    <row r="48" spans="1:25" x14ac:dyDescent="0.25">
      <c r="A48" s="179">
        <v>9</v>
      </c>
      <c r="B48" s="39" t="s">
        <v>208</v>
      </c>
      <c r="C48" s="188">
        <v>4.51</v>
      </c>
      <c r="D48" s="189">
        <f>C48*100/AVERAGE($C$39:$C42)</f>
        <v>101.12107623318386</v>
      </c>
      <c r="E48" s="41">
        <v>10</v>
      </c>
      <c r="F48" s="41">
        <v>9</v>
      </c>
      <c r="G48" s="41">
        <v>9</v>
      </c>
      <c r="H48" s="41">
        <v>51</v>
      </c>
      <c r="I48" s="41">
        <v>202</v>
      </c>
      <c r="J48" s="193">
        <v>749</v>
      </c>
      <c r="K48" s="41">
        <v>5</v>
      </c>
      <c r="L48" s="57">
        <v>12.55</v>
      </c>
      <c r="M48" s="41">
        <v>6</v>
      </c>
      <c r="N48" s="187">
        <v>37.99</v>
      </c>
      <c r="O48" s="41">
        <v>4</v>
      </c>
      <c r="P48" s="57">
        <v>24.66</v>
      </c>
      <c r="Q48" s="41">
        <v>7</v>
      </c>
      <c r="R48" s="57">
        <v>35.44</v>
      </c>
      <c r="S48" s="194">
        <v>288</v>
      </c>
      <c r="T48" s="59" t="s">
        <v>340</v>
      </c>
      <c r="U48" s="183" t="s">
        <v>336</v>
      </c>
      <c r="V48" s="57">
        <v>67.56</v>
      </c>
      <c r="W48" s="41">
        <v>5</v>
      </c>
      <c r="X48" s="41">
        <f t="shared" si="8"/>
        <v>46</v>
      </c>
    </row>
    <row r="49" spans="1:25" x14ac:dyDescent="0.25">
      <c r="A49" s="179">
        <v>10</v>
      </c>
      <c r="B49" s="39" t="s">
        <v>209</v>
      </c>
      <c r="C49" s="188">
        <v>5.51</v>
      </c>
      <c r="D49" s="189">
        <f>C49*100/AVERAGE($C$39:$C42)</f>
        <v>123.54260089686099</v>
      </c>
      <c r="E49" s="41">
        <v>14</v>
      </c>
      <c r="F49" s="41">
        <v>9</v>
      </c>
      <c r="G49" s="41">
        <v>9</v>
      </c>
      <c r="H49" s="41">
        <v>57</v>
      </c>
      <c r="I49" s="41">
        <v>204</v>
      </c>
      <c r="J49" s="193">
        <v>812</v>
      </c>
      <c r="K49" s="41">
        <v>9</v>
      </c>
      <c r="L49" s="57">
        <v>14.06</v>
      </c>
      <c r="M49" s="41">
        <v>8</v>
      </c>
      <c r="N49" s="187">
        <v>46.2</v>
      </c>
      <c r="O49" s="41">
        <v>6</v>
      </c>
      <c r="P49" s="57">
        <v>30.86</v>
      </c>
      <c r="Q49" s="41">
        <v>9</v>
      </c>
      <c r="R49" s="57">
        <v>47.7</v>
      </c>
      <c r="S49" s="194">
        <v>360</v>
      </c>
      <c r="T49" s="59" t="s">
        <v>341</v>
      </c>
      <c r="U49" s="183" t="s">
        <v>336</v>
      </c>
      <c r="V49" s="57">
        <v>65.22</v>
      </c>
      <c r="W49" s="41">
        <v>2</v>
      </c>
      <c r="X49" s="41">
        <f t="shared" si="8"/>
        <v>57</v>
      </c>
    </row>
    <row r="50" spans="1:25" x14ac:dyDescent="0.25">
      <c r="A50" s="179">
        <v>11</v>
      </c>
      <c r="B50" s="39" t="s">
        <v>370</v>
      </c>
      <c r="C50" s="188">
        <v>5.18</v>
      </c>
      <c r="D50" s="189">
        <f>C50*100/AVERAGE($C$39:$C42)</f>
        <v>116.14349775784754</v>
      </c>
      <c r="E50" s="41">
        <v>14</v>
      </c>
      <c r="F50" s="41">
        <v>9</v>
      </c>
      <c r="G50" s="41">
        <v>9</v>
      </c>
      <c r="H50" s="41">
        <v>71</v>
      </c>
      <c r="I50" s="41">
        <v>202</v>
      </c>
      <c r="J50" s="193">
        <v>742</v>
      </c>
      <c r="K50" s="41">
        <v>5</v>
      </c>
      <c r="L50" s="57">
        <v>12.56</v>
      </c>
      <c r="M50" s="41">
        <v>6</v>
      </c>
      <c r="N50" s="187">
        <v>40.39</v>
      </c>
      <c r="O50" s="41">
        <v>5</v>
      </c>
      <c r="P50" s="57">
        <v>25.7</v>
      </c>
      <c r="Q50" s="41">
        <v>8</v>
      </c>
      <c r="R50" s="57">
        <v>41.82</v>
      </c>
      <c r="S50" s="194">
        <v>248</v>
      </c>
      <c r="T50" s="59" t="s">
        <v>340</v>
      </c>
      <c r="U50" s="183" t="s">
        <v>336</v>
      </c>
      <c r="V50" s="57">
        <v>67.88</v>
      </c>
      <c r="W50" s="41">
        <v>6</v>
      </c>
      <c r="X50" s="41">
        <f t="shared" si="8"/>
        <v>53</v>
      </c>
    </row>
    <row r="52" spans="1:25" s="61" customFormat="1" x14ac:dyDescent="0.25">
      <c r="A52" s="99" t="s">
        <v>293</v>
      </c>
      <c r="T52" s="87"/>
      <c r="U52" s="87"/>
    </row>
    <row r="53" spans="1:25" s="61" customFormat="1" x14ac:dyDescent="0.25">
      <c r="A53" s="254">
        <v>1</v>
      </c>
      <c r="B53" s="246" t="s">
        <v>203</v>
      </c>
      <c r="C53" s="249">
        <f>SUM(C11+C25+C39)/3</f>
        <v>7.6433333333333344</v>
      </c>
      <c r="D53" s="247">
        <v>100</v>
      </c>
      <c r="E53" s="247">
        <v>10</v>
      </c>
      <c r="F53" s="251">
        <f t="shared" ref="F53:J56" si="10">SUM(F11+F25+F39)/3</f>
        <v>9</v>
      </c>
      <c r="G53" s="252">
        <f t="shared" si="10"/>
        <v>9</v>
      </c>
      <c r="H53" s="251">
        <f t="shared" si="10"/>
        <v>66.666666666666671</v>
      </c>
      <c r="I53" s="252">
        <f t="shared" si="10"/>
        <v>205.66666666666666</v>
      </c>
      <c r="J53" s="251">
        <f t="shared" si="10"/>
        <v>788.33333333333337</v>
      </c>
      <c r="K53" s="247">
        <v>8</v>
      </c>
      <c r="L53" s="250">
        <f>SUM(L11+L25+L39)/3</f>
        <v>14.01</v>
      </c>
      <c r="M53" s="247">
        <v>7</v>
      </c>
      <c r="N53" s="250">
        <f>SUM(N11+N25+N39)/3</f>
        <v>45.48</v>
      </c>
      <c r="O53" s="247">
        <v>6</v>
      </c>
      <c r="P53" s="250">
        <f>SUM(P11+P25+P39)/3</f>
        <v>29.38</v>
      </c>
      <c r="Q53" s="247">
        <v>9</v>
      </c>
      <c r="R53" s="250">
        <f t="shared" ref="R53:S56" si="11">SUM(R11+R25+R39)/3</f>
        <v>51.75</v>
      </c>
      <c r="S53" s="251">
        <f t="shared" si="11"/>
        <v>372.33333333333331</v>
      </c>
      <c r="T53" s="251"/>
      <c r="U53" s="251"/>
      <c r="V53" s="250">
        <f>SUM(V11+V25+V39)/3</f>
        <v>66.160000000000011</v>
      </c>
      <c r="W53" s="247">
        <v>3</v>
      </c>
      <c r="X53" s="251">
        <f>SUM(E53+F53+K53+M53+O53+Q53+W53)</f>
        <v>52</v>
      </c>
      <c r="Y53" s="62">
        <f>SUM(X53:X56)/4</f>
        <v>53.75</v>
      </c>
    </row>
    <row r="54" spans="1:25" s="61" customFormat="1" x14ac:dyDescent="0.25">
      <c r="A54" s="254">
        <v>2</v>
      </c>
      <c r="B54" s="246" t="s">
        <v>204</v>
      </c>
      <c r="C54" s="249">
        <f>SUM(C12+C26+C40)/3</f>
        <v>7.2766666666666673</v>
      </c>
      <c r="D54" s="247">
        <v>100</v>
      </c>
      <c r="E54" s="247">
        <v>10</v>
      </c>
      <c r="F54" s="251">
        <f t="shared" si="10"/>
        <v>9</v>
      </c>
      <c r="G54" s="252">
        <f t="shared" si="10"/>
        <v>9</v>
      </c>
      <c r="H54" s="251">
        <f t="shared" si="10"/>
        <v>67.666666666666671</v>
      </c>
      <c r="I54" s="252">
        <f t="shared" si="10"/>
        <v>206.66666666666666</v>
      </c>
      <c r="J54" s="251">
        <f t="shared" si="10"/>
        <v>819.66666666666663</v>
      </c>
      <c r="K54" s="247">
        <v>9</v>
      </c>
      <c r="L54" s="250">
        <f>SUM(L12+L26+L40)/3</f>
        <v>14.270000000000001</v>
      </c>
      <c r="M54" s="247">
        <v>8</v>
      </c>
      <c r="N54" s="250">
        <f>SUM(N12+N26+N40)/3</f>
        <v>39.946666666666665</v>
      </c>
      <c r="O54" s="247">
        <v>5</v>
      </c>
      <c r="P54" s="250">
        <f>SUM(P12+P26+P40)/3</f>
        <v>30.856666666666666</v>
      </c>
      <c r="Q54" s="247">
        <v>9</v>
      </c>
      <c r="R54" s="250">
        <f t="shared" si="11"/>
        <v>55.386666666666677</v>
      </c>
      <c r="S54" s="251">
        <f t="shared" si="11"/>
        <v>304.66666666666669</v>
      </c>
      <c r="T54" s="251"/>
      <c r="U54" s="251"/>
      <c r="V54" s="250">
        <f>SUM(V12+V26+V40)/3</f>
        <v>66.266666666666666</v>
      </c>
      <c r="W54" s="247">
        <v>3</v>
      </c>
      <c r="X54" s="251">
        <f t="shared" ref="X54:X64" si="12">SUM(E54+F54+K54+M54+O54+Q54+W54)</f>
        <v>53</v>
      </c>
    </row>
    <row r="55" spans="1:25" s="61" customFormat="1" x14ac:dyDescent="0.25">
      <c r="A55" s="254">
        <v>3</v>
      </c>
      <c r="B55" s="246" t="s">
        <v>205</v>
      </c>
      <c r="C55" s="249">
        <f>SUM(C13+C27+C41)/3</f>
        <v>4.9066666666666672</v>
      </c>
      <c r="D55" s="247">
        <v>100</v>
      </c>
      <c r="E55" s="247">
        <v>10</v>
      </c>
      <c r="F55" s="251">
        <f t="shared" si="10"/>
        <v>9</v>
      </c>
      <c r="G55" s="252">
        <f t="shared" si="10"/>
        <v>9</v>
      </c>
      <c r="H55" s="251">
        <f t="shared" si="10"/>
        <v>51</v>
      </c>
      <c r="I55" s="252">
        <f t="shared" si="10"/>
        <v>197.33333333333334</v>
      </c>
      <c r="J55" s="251">
        <f t="shared" si="10"/>
        <v>801.66666666666663</v>
      </c>
      <c r="K55" s="247">
        <v>9</v>
      </c>
      <c r="L55" s="250">
        <f>SUM(L13+L27+L41)/3</f>
        <v>14.143333333333333</v>
      </c>
      <c r="M55" s="247">
        <v>8</v>
      </c>
      <c r="N55" s="250">
        <f>SUM(N13+N27+N41)/3</f>
        <v>42.643333333333338</v>
      </c>
      <c r="O55" s="247">
        <v>5</v>
      </c>
      <c r="P55" s="250">
        <f>SUM(P13+P27+P41)/3</f>
        <v>30.676666666666666</v>
      </c>
      <c r="Q55" s="247">
        <v>9</v>
      </c>
      <c r="R55" s="250">
        <f t="shared" si="11"/>
        <v>54.063333333333333</v>
      </c>
      <c r="S55" s="251">
        <f t="shared" si="11"/>
        <v>360.66666666666669</v>
      </c>
      <c r="T55" s="251"/>
      <c r="U55" s="251"/>
      <c r="V55" s="250">
        <f>SUM(V13+V27+V41)/3</f>
        <v>66.846666666666678</v>
      </c>
      <c r="W55" s="247">
        <v>4</v>
      </c>
      <c r="X55" s="251">
        <f t="shared" si="12"/>
        <v>54</v>
      </c>
    </row>
    <row r="56" spans="1:25" s="61" customFormat="1" x14ac:dyDescent="0.25">
      <c r="A56" s="254">
        <v>4</v>
      </c>
      <c r="B56" s="246" t="s">
        <v>206</v>
      </c>
      <c r="C56" s="249">
        <f>SUM(C14+C28+C42)/3</f>
        <v>7.2666666666666666</v>
      </c>
      <c r="D56" s="247">
        <v>100</v>
      </c>
      <c r="E56" s="247">
        <v>10</v>
      </c>
      <c r="F56" s="251">
        <f t="shared" si="10"/>
        <v>9</v>
      </c>
      <c r="G56" s="252">
        <f t="shared" si="10"/>
        <v>9</v>
      </c>
      <c r="H56" s="251">
        <f t="shared" si="10"/>
        <v>76</v>
      </c>
      <c r="I56" s="252">
        <f t="shared" si="10"/>
        <v>198</v>
      </c>
      <c r="J56" s="251">
        <f t="shared" si="10"/>
        <v>800.33333333333337</v>
      </c>
      <c r="K56" s="247">
        <v>9</v>
      </c>
      <c r="L56" s="250">
        <f>SUM(L14+L28+L42)/3</f>
        <v>13.57</v>
      </c>
      <c r="M56" s="247">
        <v>7</v>
      </c>
      <c r="N56" s="250">
        <f>SUM(N14+N28+N42)/3</f>
        <v>47.660000000000004</v>
      </c>
      <c r="O56" s="247">
        <v>7</v>
      </c>
      <c r="P56" s="250">
        <f>SUM(P14+P28+P42)/3</f>
        <v>28.883333333333336</v>
      </c>
      <c r="Q56" s="247">
        <v>8</v>
      </c>
      <c r="R56" s="250">
        <f t="shared" si="11"/>
        <v>48.589999999999996</v>
      </c>
      <c r="S56" s="251">
        <f t="shared" si="11"/>
        <v>349.66666666666669</v>
      </c>
      <c r="T56" s="251"/>
      <c r="U56" s="251"/>
      <c r="V56" s="250">
        <f>SUM(V14+V28+V42)/3</f>
        <v>67.839999999999989</v>
      </c>
      <c r="W56" s="247">
        <v>6</v>
      </c>
      <c r="X56" s="251">
        <f t="shared" si="12"/>
        <v>56</v>
      </c>
    </row>
    <row r="57" spans="1:25" s="87" customFormat="1" x14ac:dyDescent="0.25">
      <c r="A57" s="271"/>
      <c r="B57" s="272" t="s">
        <v>300</v>
      </c>
      <c r="C57" s="273">
        <f>SUM(C53:C56)/4</f>
        <v>6.7733333333333334</v>
      </c>
      <c r="D57" s="274">
        <v>100</v>
      </c>
      <c r="E57" s="274">
        <v>10</v>
      </c>
      <c r="F57" s="275">
        <f t="shared" ref="F57:J57" si="13">SUM(F53:F56)/4</f>
        <v>9</v>
      </c>
      <c r="G57" s="275">
        <f t="shared" si="13"/>
        <v>9</v>
      </c>
      <c r="H57" s="275">
        <f t="shared" si="13"/>
        <v>65.333333333333343</v>
      </c>
      <c r="I57" s="275">
        <f t="shared" si="13"/>
        <v>201.91666666666666</v>
      </c>
      <c r="J57" s="275">
        <f t="shared" si="13"/>
        <v>802.5</v>
      </c>
      <c r="K57" s="274">
        <v>9</v>
      </c>
      <c r="L57" s="276">
        <f>SUM(L53:L56)/4</f>
        <v>13.998333333333333</v>
      </c>
      <c r="M57" s="274">
        <v>7</v>
      </c>
      <c r="N57" s="276">
        <f>SUM(N53:N56)/4</f>
        <v>43.932499999999997</v>
      </c>
      <c r="O57" s="274">
        <v>6</v>
      </c>
      <c r="P57" s="276">
        <f>SUM(P53:P56)/4</f>
        <v>29.949166666666667</v>
      </c>
      <c r="Q57" s="274">
        <v>9</v>
      </c>
      <c r="R57" s="276">
        <f>SUM(R53:R56)/4</f>
        <v>52.447500000000005</v>
      </c>
      <c r="S57" s="275">
        <f>SUM(S53:S56)/4</f>
        <v>346.83333333333337</v>
      </c>
      <c r="T57" s="275"/>
      <c r="U57" s="275"/>
      <c r="V57" s="276">
        <f>SUM(V53:V56)/4</f>
        <v>66.778333333333336</v>
      </c>
      <c r="W57" s="274">
        <v>4</v>
      </c>
      <c r="X57" s="275">
        <f t="shared" si="12"/>
        <v>54</v>
      </c>
    </row>
    <row r="58" spans="1:25" s="61" customFormat="1" x14ac:dyDescent="0.25">
      <c r="A58" s="179">
        <v>5</v>
      </c>
      <c r="B58" s="39" t="s">
        <v>207</v>
      </c>
      <c r="C58" s="188">
        <f t="shared" ref="C58:C64" si="14">SUM(C16+C30+C44)/3</f>
        <v>7.3766666666666678</v>
      </c>
      <c r="D58" s="189">
        <f>C58*100/AVERAGE($C$53:$C56)</f>
        <v>108.90748031496064</v>
      </c>
      <c r="E58" s="41">
        <v>12</v>
      </c>
      <c r="F58" s="48">
        <f t="shared" ref="F58:J64" si="15">SUM(F16+F30+F44)/3</f>
        <v>9</v>
      </c>
      <c r="G58" s="59">
        <f t="shared" si="15"/>
        <v>9</v>
      </c>
      <c r="H58" s="48">
        <f t="shared" si="15"/>
        <v>64.666666666666671</v>
      </c>
      <c r="I58" s="59">
        <f t="shared" si="15"/>
        <v>207</v>
      </c>
      <c r="J58" s="48">
        <f t="shared" si="15"/>
        <v>802</v>
      </c>
      <c r="K58" s="49">
        <v>9</v>
      </c>
      <c r="L58" s="50">
        <f t="shared" ref="L58:L64" si="16">SUM(L16+L30+L44)/3</f>
        <v>13.643333333333333</v>
      </c>
      <c r="M58" s="49">
        <v>7</v>
      </c>
      <c r="N58" s="50">
        <f t="shared" ref="N58:N64" si="17">SUM(N16+N30+N44)/3</f>
        <v>36.116666666666667</v>
      </c>
      <c r="O58" s="49">
        <v>4</v>
      </c>
      <c r="P58" s="50">
        <f t="shared" ref="P58:P64" si="18">SUM(P16+P30+P44)/3</f>
        <v>27.486666666666668</v>
      </c>
      <c r="Q58" s="49">
        <v>8</v>
      </c>
      <c r="R58" s="50">
        <f t="shared" ref="R58:S64" si="19">SUM(R16+R30+R44)/3</f>
        <v>40.843333333333334</v>
      </c>
      <c r="S58" s="48">
        <f t="shared" si="19"/>
        <v>266.66666666666669</v>
      </c>
      <c r="T58" s="48"/>
      <c r="U58" s="48"/>
      <c r="V58" s="191">
        <f t="shared" ref="V58:V64" si="20">SUM(V16+V30+V44)/3</f>
        <v>67.396666666666661</v>
      </c>
      <c r="W58" s="41">
        <v>5</v>
      </c>
      <c r="X58" s="42">
        <f t="shared" si="12"/>
        <v>54</v>
      </c>
    </row>
    <row r="59" spans="1:25" s="61" customFormat="1" x14ac:dyDescent="0.25">
      <c r="A59" s="179">
        <v>6</v>
      </c>
      <c r="B59" s="39" t="s">
        <v>367</v>
      </c>
      <c r="C59" s="188">
        <f t="shared" si="14"/>
        <v>7.583333333333333</v>
      </c>
      <c r="D59" s="189">
        <f>C59*100/AVERAGE($C$53:$C56)</f>
        <v>111.95866141732282</v>
      </c>
      <c r="E59" s="41">
        <v>10</v>
      </c>
      <c r="F59" s="189">
        <f t="shared" si="15"/>
        <v>9</v>
      </c>
      <c r="G59" s="194">
        <f t="shared" si="15"/>
        <v>9</v>
      </c>
      <c r="H59" s="189">
        <f t="shared" si="15"/>
        <v>63.666666666666664</v>
      </c>
      <c r="I59" s="194">
        <f t="shared" si="15"/>
        <v>205.66666666666666</v>
      </c>
      <c r="J59" s="189">
        <f t="shared" si="15"/>
        <v>769.66666666666663</v>
      </c>
      <c r="K59" s="49">
        <v>6</v>
      </c>
      <c r="L59" s="191">
        <f t="shared" si="16"/>
        <v>13.143333333333333</v>
      </c>
      <c r="M59" s="49">
        <v>7</v>
      </c>
      <c r="N59" s="191">
        <f t="shared" si="17"/>
        <v>45.496666666666663</v>
      </c>
      <c r="O59" s="49">
        <v>6</v>
      </c>
      <c r="P59" s="191">
        <f t="shared" si="18"/>
        <v>25.716666666666669</v>
      </c>
      <c r="Q59" s="49">
        <v>8</v>
      </c>
      <c r="R59" s="191">
        <f t="shared" si="19"/>
        <v>38.773333333333333</v>
      </c>
      <c r="S59" s="189">
        <f t="shared" si="19"/>
        <v>345</v>
      </c>
      <c r="T59" s="48"/>
      <c r="U59" s="48"/>
      <c r="V59" s="191">
        <f t="shared" si="20"/>
        <v>67.36666666666666</v>
      </c>
      <c r="W59" s="41">
        <v>5</v>
      </c>
      <c r="X59" s="42">
        <f t="shared" si="12"/>
        <v>51</v>
      </c>
    </row>
    <row r="60" spans="1:25" s="61" customFormat="1" x14ac:dyDescent="0.25">
      <c r="A60" s="179">
        <v>7</v>
      </c>
      <c r="B60" s="39" t="s">
        <v>368</v>
      </c>
      <c r="C60" s="188">
        <f t="shared" si="14"/>
        <v>6.9600000000000009</v>
      </c>
      <c r="D60" s="189">
        <f>C60*100/AVERAGE($C$53:$C56)</f>
        <v>102.75590551181104</v>
      </c>
      <c r="E60" s="41">
        <v>12</v>
      </c>
      <c r="F60" s="189">
        <f t="shared" si="15"/>
        <v>9</v>
      </c>
      <c r="G60" s="194">
        <f t="shared" si="15"/>
        <v>9</v>
      </c>
      <c r="H60" s="189">
        <f t="shared" si="15"/>
        <v>67.333333333333329</v>
      </c>
      <c r="I60" s="194">
        <f t="shared" si="15"/>
        <v>206.33333333333334</v>
      </c>
      <c r="J60" s="189">
        <f t="shared" si="15"/>
        <v>786.33333333333337</v>
      </c>
      <c r="K60" s="49">
        <v>8</v>
      </c>
      <c r="L60" s="191">
        <f t="shared" si="16"/>
        <v>14.116666666666667</v>
      </c>
      <c r="M60" s="49">
        <v>8</v>
      </c>
      <c r="N60" s="191">
        <f t="shared" si="17"/>
        <v>45.016666666666659</v>
      </c>
      <c r="O60" s="49">
        <v>6</v>
      </c>
      <c r="P60" s="191">
        <f t="shared" si="18"/>
        <v>29.643333333333334</v>
      </c>
      <c r="Q60" s="49">
        <v>9</v>
      </c>
      <c r="R60" s="191">
        <f t="shared" si="19"/>
        <v>44.830000000000005</v>
      </c>
      <c r="S60" s="189">
        <f t="shared" si="19"/>
        <v>263.66666666666669</v>
      </c>
      <c r="T60" s="48"/>
      <c r="U60" s="48"/>
      <c r="V60" s="191">
        <f t="shared" si="20"/>
        <v>65.963333333333338</v>
      </c>
      <c r="W60" s="41">
        <v>3</v>
      </c>
      <c r="X60" s="42">
        <f t="shared" si="12"/>
        <v>55</v>
      </c>
    </row>
    <row r="61" spans="1:25" s="61" customFormat="1" x14ac:dyDescent="0.25">
      <c r="A61" s="179">
        <v>8</v>
      </c>
      <c r="B61" s="39" t="s">
        <v>369</v>
      </c>
      <c r="C61" s="188">
        <f t="shared" si="14"/>
        <v>6.9133333333333331</v>
      </c>
      <c r="D61" s="189">
        <f>C61*100/AVERAGE($C$53:$C56)</f>
        <v>102.06692913385825</v>
      </c>
      <c r="E61" s="41">
        <v>12</v>
      </c>
      <c r="F61" s="189">
        <f t="shared" si="15"/>
        <v>9</v>
      </c>
      <c r="G61" s="194">
        <f t="shared" si="15"/>
        <v>9</v>
      </c>
      <c r="H61" s="189">
        <f t="shared" si="15"/>
        <v>57.333333333333336</v>
      </c>
      <c r="I61" s="194">
        <f t="shared" si="15"/>
        <v>204.66666666666666</v>
      </c>
      <c r="J61" s="189">
        <f t="shared" si="15"/>
        <v>787</v>
      </c>
      <c r="K61" s="49">
        <v>8</v>
      </c>
      <c r="L61" s="191">
        <f t="shared" si="16"/>
        <v>12.806666666666667</v>
      </c>
      <c r="M61" s="49">
        <v>6</v>
      </c>
      <c r="N61" s="191">
        <f t="shared" si="17"/>
        <v>44.5</v>
      </c>
      <c r="O61" s="49">
        <v>6</v>
      </c>
      <c r="P61" s="191">
        <f t="shared" si="18"/>
        <v>25.526666666666667</v>
      </c>
      <c r="Q61" s="49">
        <v>8</v>
      </c>
      <c r="R61" s="191">
        <f t="shared" si="19"/>
        <v>33.303333333333335</v>
      </c>
      <c r="S61" s="189">
        <f t="shared" si="19"/>
        <v>301.33333333333331</v>
      </c>
      <c r="T61" s="48"/>
      <c r="U61" s="48"/>
      <c r="V61" s="191">
        <f t="shared" si="20"/>
        <v>68.17</v>
      </c>
      <c r="W61" s="41">
        <v>6</v>
      </c>
      <c r="X61" s="42">
        <f t="shared" si="12"/>
        <v>55</v>
      </c>
    </row>
    <row r="62" spans="1:25" s="61" customFormat="1" x14ac:dyDescent="0.25">
      <c r="A62" s="179">
        <v>9</v>
      </c>
      <c r="B62" s="39" t="s">
        <v>208</v>
      </c>
      <c r="C62" s="188">
        <f t="shared" si="14"/>
        <v>7.6599999999999993</v>
      </c>
      <c r="D62" s="189">
        <f>C62*100/AVERAGE($C$53:$C56)</f>
        <v>113.09055118110234</v>
      </c>
      <c r="E62" s="41">
        <v>10</v>
      </c>
      <c r="F62" s="189">
        <f t="shared" si="15"/>
        <v>9</v>
      </c>
      <c r="G62" s="194">
        <f t="shared" si="15"/>
        <v>9</v>
      </c>
      <c r="H62" s="189">
        <f t="shared" si="15"/>
        <v>61</v>
      </c>
      <c r="I62" s="194">
        <f t="shared" si="15"/>
        <v>205</v>
      </c>
      <c r="J62" s="189">
        <f t="shared" si="15"/>
        <v>768.66666666666663</v>
      </c>
      <c r="K62" s="49">
        <v>6</v>
      </c>
      <c r="L62" s="191">
        <f t="shared" si="16"/>
        <v>12.06</v>
      </c>
      <c r="M62" s="49">
        <v>6</v>
      </c>
      <c r="N62" s="191">
        <f t="shared" si="17"/>
        <v>42.06</v>
      </c>
      <c r="O62" s="49">
        <v>5</v>
      </c>
      <c r="P62" s="191">
        <f t="shared" si="18"/>
        <v>23.743333333333336</v>
      </c>
      <c r="Q62" s="49">
        <v>7</v>
      </c>
      <c r="R62" s="191">
        <f t="shared" si="19"/>
        <v>31.400000000000002</v>
      </c>
      <c r="S62" s="189">
        <f t="shared" si="19"/>
        <v>317</v>
      </c>
      <c r="T62" s="48"/>
      <c r="U62" s="48"/>
      <c r="V62" s="191">
        <f t="shared" si="20"/>
        <v>68.430000000000007</v>
      </c>
      <c r="W62" s="41">
        <v>6</v>
      </c>
      <c r="X62" s="42">
        <f t="shared" si="12"/>
        <v>49</v>
      </c>
    </row>
    <row r="63" spans="1:25" s="61" customFormat="1" x14ac:dyDescent="0.25">
      <c r="A63" s="179">
        <v>10</v>
      </c>
      <c r="B63" s="39" t="s">
        <v>209</v>
      </c>
      <c r="C63" s="188">
        <f t="shared" si="14"/>
        <v>7.87</v>
      </c>
      <c r="D63" s="189">
        <f>C63*100/AVERAGE($C$53:$C56)</f>
        <v>116.19094488188976</v>
      </c>
      <c r="E63" s="41">
        <v>12</v>
      </c>
      <c r="F63" s="189">
        <f t="shared" si="15"/>
        <v>9</v>
      </c>
      <c r="G63" s="194">
        <f t="shared" si="15"/>
        <v>9</v>
      </c>
      <c r="H63" s="189">
        <f t="shared" si="15"/>
        <v>64</v>
      </c>
      <c r="I63" s="194">
        <f t="shared" si="15"/>
        <v>206.33333333333334</v>
      </c>
      <c r="J63" s="189">
        <f t="shared" si="15"/>
        <v>812.33333333333337</v>
      </c>
      <c r="K63" s="49">
        <v>9</v>
      </c>
      <c r="L63" s="191">
        <f t="shared" si="16"/>
        <v>14</v>
      </c>
      <c r="M63" s="49">
        <v>7</v>
      </c>
      <c r="N63" s="191">
        <f t="shared" si="17"/>
        <v>47.733333333333327</v>
      </c>
      <c r="O63" s="49">
        <v>7</v>
      </c>
      <c r="P63" s="191">
        <f t="shared" si="18"/>
        <v>30.27</v>
      </c>
      <c r="Q63" s="49">
        <v>9</v>
      </c>
      <c r="R63" s="191">
        <f t="shared" si="19"/>
        <v>46.419999999999995</v>
      </c>
      <c r="S63" s="189">
        <f t="shared" si="19"/>
        <v>371</v>
      </c>
      <c r="T63" s="48"/>
      <c r="U63" s="48"/>
      <c r="V63" s="191">
        <f t="shared" si="20"/>
        <v>65.149999999999991</v>
      </c>
      <c r="W63" s="41">
        <v>2</v>
      </c>
      <c r="X63" s="42">
        <f t="shared" si="12"/>
        <v>55</v>
      </c>
    </row>
    <row r="64" spans="1:25" s="61" customFormat="1" x14ac:dyDescent="0.25">
      <c r="A64" s="179">
        <v>11</v>
      </c>
      <c r="B64" s="39" t="s">
        <v>370</v>
      </c>
      <c r="C64" s="188">
        <f t="shared" si="14"/>
        <v>7.253333333333333</v>
      </c>
      <c r="D64" s="189">
        <f>C64*100/AVERAGE($C$53:$C56)</f>
        <v>107.08661417322833</v>
      </c>
      <c r="E64" s="41">
        <v>12</v>
      </c>
      <c r="F64" s="189">
        <f t="shared" si="15"/>
        <v>9</v>
      </c>
      <c r="G64" s="194">
        <f t="shared" si="15"/>
        <v>9</v>
      </c>
      <c r="H64" s="189">
        <f t="shared" si="15"/>
        <v>78</v>
      </c>
      <c r="I64" s="194">
        <f t="shared" si="15"/>
        <v>199.66666666666666</v>
      </c>
      <c r="J64" s="189">
        <f t="shared" si="15"/>
        <v>763.66666666666663</v>
      </c>
      <c r="K64" s="49">
        <v>6</v>
      </c>
      <c r="L64" s="191">
        <f t="shared" si="16"/>
        <v>12.62</v>
      </c>
      <c r="M64" s="49">
        <v>6</v>
      </c>
      <c r="N64" s="191">
        <f t="shared" si="17"/>
        <v>45.486666666666657</v>
      </c>
      <c r="O64" s="49">
        <v>6</v>
      </c>
      <c r="P64" s="191">
        <f t="shared" si="18"/>
        <v>26.099999999999998</v>
      </c>
      <c r="Q64" s="49">
        <v>8</v>
      </c>
      <c r="R64" s="191">
        <f t="shared" si="19"/>
        <v>40.893333333333338</v>
      </c>
      <c r="S64" s="189">
        <f t="shared" si="19"/>
        <v>314.33333333333331</v>
      </c>
      <c r="T64" s="48"/>
      <c r="U64" s="48"/>
      <c r="V64" s="191">
        <f t="shared" si="20"/>
        <v>68.100000000000009</v>
      </c>
      <c r="W64" s="41">
        <v>6</v>
      </c>
      <c r="X64" s="42">
        <f t="shared" si="12"/>
        <v>53</v>
      </c>
    </row>
    <row r="67" spans="2:21" x14ac:dyDescent="0.25">
      <c r="B67" s="367" t="s">
        <v>104</v>
      </c>
      <c r="C67" s="367"/>
      <c r="D67" s="367"/>
      <c r="E67" s="367"/>
      <c r="F67" s="367"/>
      <c r="G67" s="367"/>
      <c r="H67" s="367"/>
      <c r="T67"/>
      <c r="U67"/>
    </row>
    <row r="68" spans="2:21" x14ac:dyDescent="0.25">
      <c r="B68" s="123" t="s">
        <v>307</v>
      </c>
      <c r="C68" s="363" t="s">
        <v>134</v>
      </c>
      <c r="D68" s="364"/>
      <c r="E68" s="363" t="s">
        <v>105</v>
      </c>
      <c r="F68" s="364"/>
      <c r="G68" s="357" t="s">
        <v>135</v>
      </c>
      <c r="H68" s="364"/>
      <c r="T68"/>
      <c r="U68"/>
    </row>
    <row r="69" spans="2:21" x14ac:dyDescent="0.25">
      <c r="B69" s="124" t="s">
        <v>106</v>
      </c>
      <c r="C69" s="368"/>
      <c r="D69" s="369"/>
      <c r="E69" s="369"/>
      <c r="F69" s="369"/>
      <c r="G69" s="369"/>
      <c r="H69" s="370"/>
      <c r="T69"/>
      <c r="U69"/>
    </row>
    <row r="70" spans="2:21" x14ac:dyDescent="0.25">
      <c r="B70" s="124" t="s">
        <v>156</v>
      </c>
      <c r="C70" s="353" t="s">
        <v>375</v>
      </c>
      <c r="D70" s="353"/>
      <c r="E70" s="353"/>
      <c r="F70" s="353"/>
      <c r="G70" s="356" t="s">
        <v>255</v>
      </c>
      <c r="H70" s="362"/>
      <c r="T70"/>
      <c r="U70"/>
    </row>
    <row r="71" spans="2:21" x14ac:dyDescent="0.25">
      <c r="B71" s="124" t="s">
        <v>107</v>
      </c>
      <c r="C71" s="363">
        <v>2.1</v>
      </c>
      <c r="D71" s="364"/>
      <c r="E71" s="389">
        <v>3.3</v>
      </c>
      <c r="F71" s="390"/>
      <c r="G71" s="389">
        <v>2.4</v>
      </c>
      <c r="H71" s="390"/>
      <c r="T71"/>
      <c r="U71"/>
    </row>
    <row r="72" spans="2:21" x14ac:dyDescent="0.25">
      <c r="B72" s="124" t="s">
        <v>108</v>
      </c>
      <c r="C72" s="363">
        <v>6.9</v>
      </c>
      <c r="D72" s="364"/>
      <c r="E72" s="391">
        <v>5.9</v>
      </c>
      <c r="F72" s="392"/>
      <c r="G72" s="389">
        <v>5.5</v>
      </c>
      <c r="H72" s="390"/>
      <c r="T72"/>
      <c r="U72"/>
    </row>
    <row r="73" spans="2:21" x14ac:dyDescent="0.25">
      <c r="B73" s="124" t="s">
        <v>109</v>
      </c>
      <c r="C73" s="363">
        <v>179</v>
      </c>
      <c r="D73" s="364"/>
      <c r="E73" s="389">
        <v>85</v>
      </c>
      <c r="F73" s="390"/>
      <c r="G73" s="389">
        <v>93</v>
      </c>
      <c r="H73" s="390"/>
      <c r="T73"/>
      <c r="U73"/>
    </row>
    <row r="74" spans="2:21" x14ac:dyDescent="0.25">
      <c r="B74" s="124" t="s">
        <v>110</v>
      </c>
      <c r="C74" s="363">
        <v>253</v>
      </c>
      <c r="D74" s="364"/>
      <c r="E74" s="389">
        <v>163</v>
      </c>
      <c r="F74" s="390"/>
      <c r="G74" s="389">
        <v>150</v>
      </c>
      <c r="H74" s="390"/>
      <c r="T74"/>
      <c r="U74"/>
    </row>
    <row r="75" spans="2:21" x14ac:dyDescent="0.25">
      <c r="B75" s="124" t="s">
        <v>119</v>
      </c>
      <c r="C75" s="363" t="s">
        <v>173</v>
      </c>
      <c r="D75" s="357"/>
      <c r="E75" s="356"/>
      <c r="F75" s="362"/>
      <c r="G75" s="361" t="s">
        <v>173</v>
      </c>
      <c r="H75" s="362"/>
      <c r="T75"/>
      <c r="U75"/>
    </row>
    <row r="76" spans="2:21" x14ac:dyDescent="0.25">
      <c r="B76" s="124" t="s">
        <v>140</v>
      </c>
      <c r="C76" s="382" t="s">
        <v>141</v>
      </c>
      <c r="D76" s="383"/>
      <c r="E76" s="356" t="s">
        <v>241</v>
      </c>
      <c r="F76" s="362"/>
      <c r="G76" s="356" t="s">
        <v>241</v>
      </c>
      <c r="H76" s="362"/>
      <c r="T76"/>
      <c r="U76"/>
    </row>
    <row r="77" spans="2:21" s="298" customFormat="1" x14ac:dyDescent="0.25">
      <c r="B77" s="124" t="s">
        <v>680</v>
      </c>
      <c r="C77" s="382" t="s">
        <v>683</v>
      </c>
      <c r="D77" s="383"/>
      <c r="E77" s="383"/>
      <c r="F77" s="383"/>
      <c r="G77" s="383"/>
      <c r="H77" s="384"/>
    </row>
    <row r="78" spans="2:21" x14ac:dyDescent="0.25">
      <c r="B78" s="124" t="s">
        <v>111</v>
      </c>
      <c r="C78" s="353" t="s">
        <v>376</v>
      </c>
      <c r="D78" s="353"/>
      <c r="E78" s="358" t="s">
        <v>379</v>
      </c>
      <c r="F78" s="358"/>
      <c r="G78" s="358" t="s">
        <v>325</v>
      </c>
      <c r="H78" s="358"/>
      <c r="T78"/>
      <c r="U78"/>
    </row>
    <row r="79" spans="2:21" x14ac:dyDescent="0.25">
      <c r="B79" s="123" t="s">
        <v>142</v>
      </c>
      <c r="C79" s="357" t="s">
        <v>377</v>
      </c>
      <c r="D79" s="364"/>
      <c r="E79" s="377" t="s">
        <v>623</v>
      </c>
      <c r="F79" s="358"/>
      <c r="G79" s="358" t="s">
        <v>355</v>
      </c>
      <c r="H79" s="358"/>
      <c r="T79"/>
      <c r="U79"/>
    </row>
    <row r="80" spans="2:21" x14ac:dyDescent="0.25">
      <c r="B80" s="123" t="s">
        <v>143</v>
      </c>
      <c r="C80" s="357" t="s">
        <v>356</v>
      </c>
      <c r="D80" s="364"/>
      <c r="E80" s="358" t="s">
        <v>533</v>
      </c>
      <c r="F80" s="358"/>
      <c r="G80" s="358" t="s">
        <v>398</v>
      </c>
      <c r="H80" s="358"/>
      <c r="T80"/>
      <c r="U80"/>
    </row>
    <row r="81" spans="2:21" x14ac:dyDescent="0.25">
      <c r="B81" s="123" t="s">
        <v>112</v>
      </c>
      <c r="C81" s="357" t="s">
        <v>378</v>
      </c>
      <c r="D81" s="364"/>
      <c r="E81" s="358" t="s">
        <v>388</v>
      </c>
      <c r="F81" s="358"/>
      <c r="G81" s="358" t="s">
        <v>338</v>
      </c>
      <c r="H81" s="358"/>
      <c r="T81"/>
      <c r="U81"/>
    </row>
    <row r="82" spans="2:21" x14ac:dyDescent="0.25">
      <c r="B82" s="124" t="s">
        <v>113</v>
      </c>
      <c r="C82" s="359"/>
      <c r="D82" s="359"/>
      <c r="E82" s="359"/>
      <c r="F82" s="359"/>
      <c r="G82" s="359"/>
      <c r="H82" s="359"/>
      <c r="T82"/>
      <c r="U82"/>
    </row>
    <row r="83" spans="2:21" x14ac:dyDescent="0.25">
      <c r="B83" s="124" t="s">
        <v>114</v>
      </c>
      <c r="C83" s="125" t="s">
        <v>379</v>
      </c>
      <c r="D83" s="149" t="s">
        <v>314</v>
      </c>
      <c r="E83" s="211" t="s">
        <v>253</v>
      </c>
      <c r="F83" s="177"/>
      <c r="G83" s="211" t="s">
        <v>357</v>
      </c>
      <c r="H83" s="177" t="s">
        <v>358</v>
      </c>
      <c r="T83"/>
      <c r="U83"/>
    </row>
    <row r="84" spans="2:21" x14ac:dyDescent="0.25">
      <c r="B84" s="124" t="s">
        <v>138</v>
      </c>
      <c r="C84" s="124"/>
      <c r="D84" s="199">
        <v>187</v>
      </c>
      <c r="E84" s="211" t="s">
        <v>389</v>
      </c>
      <c r="F84" s="177" t="s">
        <v>269</v>
      </c>
      <c r="G84" s="227"/>
      <c r="H84" s="177" t="s">
        <v>399</v>
      </c>
      <c r="T84"/>
      <c r="U84"/>
    </row>
    <row r="85" spans="2:21" s="87" customFormat="1" x14ac:dyDescent="0.25">
      <c r="B85" s="124" t="s">
        <v>138</v>
      </c>
      <c r="C85" s="124"/>
      <c r="D85" s="199"/>
      <c r="E85" s="211" t="s">
        <v>390</v>
      </c>
      <c r="F85" s="177" t="s">
        <v>391</v>
      </c>
      <c r="G85" s="227"/>
      <c r="H85" s="177"/>
    </row>
    <row r="86" spans="2:21" x14ac:dyDescent="0.25">
      <c r="B86" s="124" t="s">
        <v>138</v>
      </c>
      <c r="C86" s="124"/>
      <c r="D86" s="199"/>
      <c r="E86" s="211" t="s">
        <v>392</v>
      </c>
      <c r="F86" s="177" t="s">
        <v>393</v>
      </c>
      <c r="G86" s="201"/>
      <c r="H86" s="176"/>
      <c r="T86"/>
      <c r="U86"/>
    </row>
    <row r="87" spans="2:21" x14ac:dyDescent="0.25">
      <c r="B87" s="124"/>
      <c r="C87" s="124"/>
      <c r="D87" s="149"/>
      <c r="E87" s="211"/>
      <c r="F87" s="177"/>
      <c r="G87" s="201"/>
      <c r="H87" s="201"/>
      <c r="T87"/>
      <c r="U87"/>
    </row>
    <row r="88" spans="2:21" x14ac:dyDescent="0.25">
      <c r="B88" s="124" t="s">
        <v>115</v>
      </c>
      <c r="C88" s="353"/>
      <c r="D88" s="353"/>
      <c r="E88" s="353"/>
      <c r="F88" s="353"/>
      <c r="G88" s="353"/>
      <c r="H88" s="353"/>
      <c r="T88"/>
      <c r="U88"/>
    </row>
    <row r="89" spans="2:21" x14ac:dyDescent="0.25">
      <c r="B89" s="124" t="s">
        <v>116</v>
      </c>
      <c r="C89" s="124" t="s">
        <v>315</v>
      </c>
      <c r="D89" s="124" t="s">
        <v>380</v>
      </c>
      <c r="E89" s="211" t="s">
        <v>394</v>
      </c>
      <c r="F89" s="211" t="s">
        <v>239</v>
      </c>
      <c r="G89" s="211" t="s">
        <v>364</v>
      </c>
      <c r="H89" s="211" t="s">
        <v>261</v>
      </c>
      <c r="T89"/>
      <c r="U89"/>
    </row>
    <row r="90" spans="2:21" x14ac:dyDescent="0.25">
      <c r="B90" s="127"/>
      <c r="C90" s="124"/>
      <c r="D90" s="124"/>
      <c r="E90" s="211"/>
      <c r="F90" s="211" t="s">
        <v>395</v>
      </c>
      <c r="G90" s="211"/>
      <c r="H90" s="211"/>
      <c r="T90"/>
      <c r="U90"/>
    </row>
    <row r="91" spans="2:21" s="87" customFormat="1" x14ac:dyDescent="0.25">
      <c r="B91" s="127"/>
      <c r="C91" s="124"/>
      <c r="D91" s="124"/>
      <c r="E91" s="211"/>
      <c r="F91" s="211"/>
      <c r="G91" s="211"/>
      <c r="H91" s="211"/>
    </row>
    <row r="92" spans="2:21" x14ac:dyDescent="0.25">
      <c r="B92" s="127"/>
      <c r="C92" s="124"/>
      <c r="D92" s="124"/>
      <c r="E92" s="211"/>
      <c r="F92" s="211"/>
      <c r="G92" s="211"/>
      <c r="H92" s="211"/>
      <c r="T92"/>
      <c r="U92"/>
    </row>
    <row r="93" spans="2:21" x14ac:dyDescent="0.25">
      <c r="B93" s="124" t="s">
        <v>157</v>
      </c>
      <c r="C93" s="124" t="s">
        <v>315</v>
      </c>
      <c r="D93" s="124" t="s">
        <v>177</v>
      </c>
      <c r="E93" s="211" t="s">
        <v>394</v>
      </c>
      <c r="F93" s="211" t="s">
        <v>154</v>
      </c>
      <c r="G93" s="211" t="s">
        <v>364</v>
      </c>
      <c r="H93" s="211" t="s">
        <v>179</v>
      </c>
      <c r="T93"/>
      <c r="U93"/>
    </row>
    <row r="94" spans="2:21" x14ac:dyDescent="0.25">
      <c r="B94" s="124"/>
      <c r="C94" s="124" t="s">
        <v>381</v>
      </c>
      <c r="D94" s="124" t="s">
        <v>382</v>
      </c>
      <c r="E94" s="211"/>
      <c r="F94" s="211"/>
      <c r="G94" s="211"/>
      <c r="H94" s="211"/>
      <c r="T94"/>
      <c r="U94"/>
    </row>
    <row r="95" spans="2:21" x14ac:dyDescent="0.25">
      <c r="B95" s="124"/>
      <c r="C95" s="124"/>
      <c r="D95" s="124"/>
      <c r="E95" s="211"/>
      <c r="F95" s="211"/>
      <c r="G95" s="201"/>
      <c r="H95" s="201"/>
      <c r="T95"/>
      <c r="U95"/>
    </row>
    <row r="96" spans="2:21" x14ac:dyDescent="0.25">
      <c r="B96" s="124" t="s">
        <v>117</v>
      </c>
      <c r="C96" s="124" t="s">
        <v>383</v>
      </c>
      <c r="D96" s="124" t="s">
        <v>164</v>
      </c>
      <c r="E96" s="211"/>
      <c r="F96" s="211"/>
      <c r="G96" s="201"/>
      <c r="H96" s="201"/>
      <c r="T96"/>
      <c r="U96"/>
    </row>
    <row r="97" spans="2:21" x14ac:dyDescent="0.25">
      <c r="B97" s="124"/>
      <c r="C97" s="124"/>
      <c r="D97" s="124"/>
      <c r="E97" s="211"/>
      <c r="F97" s="211"/>
      <c r="G97" s="201"/>
      <c r="H97" s="201"/>
      <c r="T97"/>
      <c r="U97"/>
    </row>
    <row r="98" spans="2:21" x14ac:dyDescent="0.25">
      <c r="B98" s="124" t="s">
        <v>123</v>
      </c>
      <c r="C98" s="124" t="s">
        <v>316</v>
      </c>
      <c r="D98" s="124" t="s">
        <v>317</v>
      </c>
      <c r="E98" s="211" t="s">
        <v>396</v>
      </c>
      <c r="F98" s="211" t="s">
        <v>275</v>
      </c>
      <c r="G98" s="211" t="s">
        <v>362</v>
      </c>
      <c r="H98" s="211" t="s">
        <v>363</v>
      </c>
      <c r="T98"/>
      <c r="U98"/>
    </row>
    <row r="99" spans="2:21" x14ac:dyDescent="0.25">
      <c r="B99" s="124"/>
      <c r="C99" s="124" t="s">
        <v>383</v>
      </c>
      <c r="D99" s="124" t="s">
        <v>384</v>
      </c>
      <c r="E99" s="211" t="s">
        <v>392</v>
      </c>
      <c r="F99" s="211" t="s">
        <v>275</v>
      </c>
      <c r="G99" s="222"/>
      <c r="H99" s="222"/>
      <c r="T99"/>
      <c r="U99"/>
    </row>
    <row r="100" spans="2:21" s="87" customFormat="1" x14ac:dyDescent="0.25">
      <c r="B100" s="124"/>
      <c r="C100" s="124"/>
      <c r="D100" s="124"/>
      <c r="E100" s="211"/>
      <c r="F100" s="211"/>
      <c r="G100" s="211"/>
      <c r="H100" s="211"/>
    </row>
    <row r="101" spans="2:21" s="87" customFormat="1" x14ac:dyDescent="0.25">
      <c r="B101" s="124"/>
      <c r="C101" s="124"/>
      <c r="D101" s="124"/>
      <c r="E101" s="211"/>
      <c r="F101" s="211"/>
      <c r="G101" s="201"/>
      <c r="H101" s="223"/>
    </row>
    <row r="102" spans="2:21" x14ac:dyDescent="0.25">
      <c r="B102" s="124" t="s">
        <v>144</v>
      </c>
      <c r="C102" s="124" t="s">
        <v>315</v>
      </c>
      <c r="D102" s="124" t="s">
        <v>178</v>
      </c>
      <c r="E102" s="211"/>
      <c r="F102" s="211"/>
      <c r="G102" s="211"/>
      <c r="H102" s="222"/>
      <c r="T102"/>
      <c r="U102"/>
    </row>
    <row r="103" spans="2:21" x14ac:dyDescent="0.25">
      <c r="B103" s="124"/>
      <c r="C103" s="124" t="s">
        <v>381</v>
      </c>
      <c r="D103" s="124" t="s">
        <v>178</v>
      </c>
      <c r="E103" s="211"/>
      <c r="F103" s="211"/>
      <c r="G103" s="211" t="s">
        <v>362</v>
      </c>
      <c r="H103" s="211" t="s">
        <v>260</v>
      </c>
      <c r="T103"/>
      <c r="U103"/>
    </row>
    <row r="104" spans="2:21" s="298" customFormat="1" x14ac:dyDescent="0.25">
      <c r="B104" s="124"/>
      <c r="C104" s="124" t="s">
        <v>316</v>
      </c>
      <c r="D104" s="124" t="s">
        <v>385</v>
      </c>
      <c r="E104" s="211"/>
      <c r="F104" s="211"/>
      <c r="G104" s="211"/>
      <c r="H104" s="211"/>
    </row>
    <row r="105" spans="2:21" x14ac:dyDescent="0.25">
      <c r="B105" s="127"/>
      <c r="C105" s="124" t="s">
        <v>383</v>
      </c>
      <c r="D105" s="124" t="s">
        <v>385</v>
      </c>
      <c r="E105" s="211"/>
      <c r="F105" s="211"/>
      <c r="G105" s="211"/>
      <c r="H105" s="211"/>
      <c r="T105"/>
      <c r="U105"/>
    </row>
  </sheetData>
  <mergeCells count="50">
    <mergeCell ref="C77:H77"/>
    <mergeCell ref="P7:Q7"/>
    <mergeCell ref="V7:W7"/>
    <mergeCell ref="X7:X8"/>
    <mergeCell ref="A7:A8"/>
    <mergeCell ref="B7:B8"/>
    <mergeCell ref="C7:E7"/>
    <mergeCell ref="J7:K7"/>
    <mergeCell ref="L7:M7"/>
    <mergeCell ref="N7:O7"/>
    <mergeCell ref="B67:H67"/>
    <mergeCell ref="C68:D68"/>
    <mergeCell ref="E68:F68"/>
    <mergeCell ref="G68:H68"/>
    <mergeCell ref="C69:H69"/>
    <mergeCell ref="C70:D70"/>
    <mergeCell ref="E70:F70"/>
    <mergeCell ref="G70:H70"/>
    <mergeCell ref="C71:D71"/>
    <mergeCell ref="E71:F71"/>
    <mergeCell ref="G71:H71"/>
    <mergeCell ref="C74:D74"/>
    <mergeCell ref="E74:F74"/>
    <mergeCell ref="G74:H74"/>
    <mergeCell ref="C76:D76"/>
    <mergeCell ref="C72:D72"/>
    <mergeCell ref="E72:F72"/>
    <mergeCell ref="G72:H72"/>
    <mergeCell ref="C73:D73"/>
    <mergeCell ref="E73:F73"/>
    <mergeCell ref="G73:H73"/>
    <mergeCell ref="C75:D75"/>
    <mergeCell ref="E75:F75"/>
    <mergeCell ref="G75:H75"/>
    <mergeCell ref="E76:F76"/>
    <mergeCell ref="G76:H76"/>
    <mergeCell ref="C88:H88"/>
    <mergeCell ref="E78:F78"/>
    <mergeCell ref="G78:H78"/>
    <mergeCell ref="E79:F79"/>
    <mergeCell ref="G79:H79"/>
    <mergeCell ref="C78:D78"/>
    <mergeCell ref="C79:D79"/>
    <mergeCell ref="C80:D80"/>
    <mergeCell ref="E80:F80"/>
    <mergeCell ref="G80:H80"/>
    <mergeCell ref="C81:D81"/>
    <mergeCell ref="E81:F81"/>
    <mergeCell ref="G81:H81"/>
    <mergeCell ref="C82:H8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54"/>
  <sheetViews>
    <sheetView workbookViewId="0">
      <selection activeCell="L61" sqref="L61"/>
    </sheetView>
  </sheetViews>
  <sheetFormatPr defaultRowHeight="15" x14ac:dyDescent="0.25"/>
  <cols>
    <col min="1" max="1" width="5" style="298" customWidth="1"/>
    <col min="2" max="2" width="30.42578125" style="298" customWidth="1"/>
    <col min="3" max="3" width="12.42578125" style="298" customWidth="1"/>
    <col min="4" max="4" width="25.140625" style="298" customWidth="1"/>
    <col min="5" max="5" width="12.5703125" style="298" customWidth="1"/>
    <col min="6" max="6" width="28.85546875" style="298" bestFit="1" customWidth="1"/>
    <col min="7" max="7" width="12" style="298" customWidth="1"/>
    <col min="8" max="8" width="28.85546875" style="298" bestFit="1" customWidth="1"/>
    <col min="9" max="18" width="9.140625" style="298"/>
    <col min="19" max="19" width="9.7109375" style="298" bestFit="1" customWidth="1"/>
    <col min="20" max="16384" width="9.140625" style="298"/>
  </cols>
  <sheetData>
    <row r="2" spans="1:25" x14ac:dyDescent="0.25">
      <c r="B2" s="106" t="s">
        <v>400</v>
      </c>
    </row>
    <row r="3" spans="1:25" x14ac:dyDescent="0.25">
      <c r="B3" s="76" t="s">
        <v>401</v>
      </c>
    </row>
    <row r="5" spans="1:25" ht="15.75" x14ac:dyDescent="0.25">
      <c r="A5" s="51" t="s">
        <v>38</v>
      </c>
    </row>
    <row r="7" spans="1:25" ht="75.599999999999994" customHeight="1" x14ac:dyDescent="0.25">
      <c r="A7" s="387" t="s">
        <v>1</v>
      </c>
      <c r="B7" s="387" t="s">
        <v>2</v>
      </c>
      <c r="C7" s="387" t="s">
        <v>3</v>
      </c>
      <c r="D7" s="387"/>
      <c r="E7" s="387"/>
      <c r="F7" s="294" t="s">
        <v>39</v>
      </c>
      <c r="G7" s="294" t="s">
        <v>5</v>
      </c>
      <c r="H7" s="294" t="s">
        <v>6</v>
      </c>
      <c r="I7" s="53" t="s">
        <v>7</v>
      </c>
      <c r="J7" s="387" t="s">
        <v>29</v>
      </c>
      <c r="K7" s="387"/>
      <c r="L7" s="387" t="s">
        <v>9</v>
      </c>
      <c r="M7" s="387"/>
      <c r="N7" s="387" t="s">
        <v>10</v>
      </c>
      <c r="O7" s="387"/>
      <c r="P7" s="387" t="s">
        <v>40</v>
      </c>
      <c r="Q7" s="387"/>
      <c r="R7" s="294" t="s">
        <v>41</v>
      </c>
      <c r="S7" s="294" t="s">
        <v>11</v>
      </c>
      <c r="T7" s="294" t="s">
        <v>180</v>
      </c>
      <c r="U7" s="294" t="s">
        <v>112</v>
      </c>
      <c r="V7" s="387" t="s">
        <v>12</v>
      </c>
      <c r="W7" s="387"/>
      <c r="X7" s="388" t="s">
        <v>13</v>
      </c>
    </row>
    <row r="8" spans="1:25" ht="25.5" x14ac:dyDescent="0.25">
      <c r="A8" s="387"/>
      <c r="B8" s="387"/>
      <c r="C8" s="294" t="s">
        <v>14</v>
      </c>
      <c r="D8" s="294" t="s">
        <v>15</v>
      </c>
      <c r="E8" s="294" t="s">
        <v>16</v>
      </c>
      <c r="F8" s="294" t="s">
        <v>17</v>
      </c>
      <c r="G8" s="294" t="s">
        <v>16</v>
      </c>
      <c r="H8" s="294" t="s">
        <v>18</v>
      </c>
      <c r="I8" s="294" t="s">
        <v>19</v>
      </c>
      <c r="J8" s="294" t="s">
        <v>20</v>
      </c>
      <c r="K8" s="294" t="s">
        <v>16</v>
      </c>
      <c r="L8" s="294" t="s">
        <v>21</v>
      </c>
      <c r="M8" s="54" t="s">
        <v>16</v>
      </c>
      <c r="N8" s="54" t="s">
        <v>22</v>
      </c>
      <c r="O8" s="54" t="s">
        <v>16</v>
      </c>
      <c r="P8" s="294" t="s">
        <v>21</v>
      </c>
      <c r="Q8" s="294" t="s">
        <v>16</v>
      </c>
      <c r="R8" s="294" t="s">
        <v>42</v>
      </c>
      <c r="S8" s="294" t="s">
        <v>23</v>
      </c>
      <c r="T8" s="294" t="s">
        <v>296</v>
      </c>
      <c r="U8" s="294" t="s">
        <v>297</v>
      </c>
      <c r="V8" s="294" t="s">
        <v>21</v>
      </c>
      <c r="W8" s="294" t="s">
        <v>16</v>
      </c>
      <c r="X8" s="388"/>
    </row>
    <row r="10" spans="1:25" x14ac:dyDescent="0.25">
      <c r="A10" s="111" t="s">
        <v>290</v>
      </c>
    </row>
    <row r="11" spans="1:25" x14ac:dyDescent="0.25">
      <c r="A11" s="254">
        <v>1</v>
      </c>
      <c r="B11" s="246" t="s">
        <v>203</v>
      </c>
      <c r="C11" s="249">
        <v>2.5499999999999998</v>
      </c>
      <c r="D11" s="247">
        <v>100</v>
      </c>
      <c r="E11" s="247">
        <v>10</v>
      </c>
      <c r="F11" s="247">
        <v>9</v>
      </c>
      <c r="G11" s="247">
        <v>9</v>
      </c>
      <c r="H11" s="247">
        <v>42</v>
      </c>
      <c r="I11" s="247">
        <v>195</v>
      </c>
      <c r="J11" s="251">
        <v>795</v>
      </c>
      <c r="K11" s="247">
        <v>8</v>
      </c>
      <c r="L11" s="250">
        <v>10.85</v>
      </c>
      <c r="M11" s="247">
        <v>4</v>
      </c>
      <c r="N11" s="250">
        <v>41</v>
      </c>
      <c r="O11" s="247">
        <v>5</v>
      </c>
      <c r="P11" s="250">
        <v>20.399999999999999</v>
      </c>
      <c r="Q11" s="247">
        <v>4</v>
      </c>
      <c r="R11" s="250">
        <v>29.03</v>
      </c>
      <c r="S11" s="252">
        <v>409</v>
      </c>
      <c r="T11" s="252" t="s">
        <v>372</v>
      </c>
      <c r="U11" s="252" t="s">
        <v>371</v>
      </c>
      <c r="V11" s="250">
        <v>69.44</v>
      </c>
      <c r="W11" s="247">
        <v>8</v>
      </c>
      <c r="X11" s="247">
        <f>SUM(E11+F11+K11+M11+O11+Q11+W11)</f>
        <v>48</v>
      </c>
      <c r="Y11" s="62">
        <f>SUM(X11:X14)/4</f>
        <v>48.25</v>
      </c>
    </row>
    <row r="12" spans="1:25" x14ac:dyDescent="0.25">
      <c r="A12" s="254">
        <v>2</v>
      </c>
      <c r="B12" s="246" t="s">
        <v>204</v>
      </c>
      <c r="C12" s="249">
        <v>1.98</v>
      </c>
      <c r="D12" s="247">
        <v>100</v>
      </c>
      <c r="E12" s="247">
        <v>10</v>
      </c>
      <c r="F12" s="247">
        <v>9</v>
      </c>
      <c r="G12" s="247">
        <v>9</v>
      </c>
      <c r="H12" s="247">
        <v>47</v>
      </c>
      <c r="I12" s="247">
        <v>195</v>
      </c>
      <c r="J12" s="251">
        <v>778</v>
      </c>
      <c r="K12" s="247">
        <v>7</v>
      </c>
      <c r="L12" s="250">
        <v>10.7</v>
      </c>
      <c r="M12" s="247">
        <v>4</v>
      </c>
      <c r="N12" s="250">
        <v>34.200000000000003</v>
      </c>
      <c r="O12" s="247">
        <v>3</v>
      </c>
      <c r="P12" s="250">
        <v>20.76</v>
      </c>
      <c r="Q12" s="247">
        <v>4</v>
      </c>
      <c r="R12" s="250">
        <v>28.28</v>
      </c>
      <c r="S12" s="252">
        <v>363</v>
      </c>
      <c r="T12" s="252" t="s">
        <v>372</v>
      </c>
      <c r="U12" s="252" t="s">
        <v>371</v>
      </c>
      <c r="V12" s="250">
        <v>70.010000000000005</v>
      </c>
      <c r="W12" s="247">
        <v>8</v>
      </c>
      <c r="X12" s="247">
        <f t="shared" ref="X12:X15" si="0">SUM(E12+F12+K12+M12+O12+Q12+W12)</f>
        <v>45</v>
      </c>
    </row>
    <row r="13" spans="1:25" x14ac:dyDescent="0.25">
      <c r="A13" s="254">
        <v>3</v>
      </c>
      <c r="B13" s="246" t="s">
        <v>205</v>
      </c>
      <c r="C13" s="249">
        <v>1.79</v>
      </c>
      <c r="D13" s="247">
        <v>100</v>
      </c>
      <c r="E13" s="247">
        <v>10</v>
      </c>
      <c r="F13" s="247">
        <v>9</v>
      </c>
      <c r="G13" s="247">
        <v>9</v>
      </c>
      <c r="H13" s="247">
        <v>33</v>
      </c>
      <c r="I13" s="247">
        <v>195</v>
      </c>
      <c r="J13" s="251">
        <v>820</v>
      </c>
      <c r="K13" s="247">
        <v>9</v>
      </c>
      <c r="L13" s="250">
        <v>12.26</v>
      </c>
      <c r="M13" s="247">
        <v>6</v>
      </c>
      <c r="N13" s="250">
        <v>38.1</v>
      </c>
      <c r="O13" s="247">
        <v>4</v>
      </c>
      <c r="P13" s="250">
        <v>24.9</v>
      </c>
      <c r="Q13" s="247">
        <v>7</v>
      </c>
      <c r="R13" s="250">
        <v>40.46</v>
      </c>
      <c r="S13" s="252">
        <v>315</v>
      </c>
      <c r="T13" s="252" t="s">
        <v>372</v>
      </c>
      <c r="U13" s="252" t="s">
        <v>371</v>
      </c>
      <c r="V13" s="250">
        <v>68.540000000000006</v>
      </c>
      <c r="W13" s="247">
        <v>7</v>
      </c>
      <c r="X13" s="247">
        <f t="shared" si="0"/>
        <v>52</v>
      </c>
    </row>
    <row r="14" spans="1:25" x14ac:dyDescent="0.25">
      <c r="A14" s="254">
        <v>4</v>
      </c>
      <c r="B14" s="246" t="s">
        <v>206</v>
      </c>
      <c r="C14" s="249">
        <v>2.17</v>
      </c>
      <c r="D14" s="247">
        <v>100</v>
      </c>
      <c r="E14" s="247">
        <v>10</v>
      </c>
      <c r="F14" s="247">
        <v>9</v>
      </c>
      <c r="G14" s="247">
        <v>9</v>
      </c>
      <c r="H14" s="247">
        <v>45</v>
      </c>
      <c r="I14" s="247">
        <v>195</v>
      </c>
      <c r="J14" s="251">
        <v>802</v>
      </c>
      <c r="K14" s="247">
        <v>9</v>
      </c>
      <c r="L14" s="250">
        <v>11.13</v>
      </c>
      <c r="M14" s="247">
        <v>4</v>
      </c>
      <c r="N14" s="250">
        <v>40.700000000000003</v>
      </c>
      <c r="O14" s="247">
        <v>5</v>
      </c>
      <c r="P14" s="250">
        <v>21.79</v>
      </c>
      <c r="Q14" s="247">
        <v>4</v>
      </c>
      <c r="R14" s="250">
        <v>26.72</v>
      </c>
      <c r="S14" s="252">
        <v>375</v>
      </c>
      <c r="T14" s="252" t="s">
        <v>372</v>
      </c>
      <c r="U14" s="252" t="s">
        <v>371</v>
      </c>
      <c r="V14" s="250">
        <v>68.959999999999994</v>
      </c>
      <c r="W14" s="247">
        <v>7</v>
      </c>
      <c r="X14" s="247">
        <f t="shared" si="0"/>
        <v>48</v>
      </c>
    </row>
    <row r="15" spans="1:25" x14ac:dyDescent="0.25">
      <c r="A15" s="271"/>
      <c r="B15" s="272" t="s">
        <v>300</v>
      </c>
      <c r="C15" s="273">
        <f>SUM(C11:C14)/4</f>
        <v>2.1224999999999996</v>
      </c>
      <c r="D15" s="274">
        <v>100</v>
      </c>
      <c r="E15" s="274">
        <v>10</v>
      </c>
      <c r="F15" s="275">
        <f>SUM(F11:F14)/4</f>
        <v>9</v>
      </c>
      <c r="G15" s="275">
        <v>9</v>
      </c>
      <c r="H15" s="275">
        <f>SUM(H11:H14)/4</f>
        <v>41.75</v>
      </c>
      <c r="I15" s="275">
        <f>SUM(I11:I14)/4</f>
        <v>195</v>
      </c>
      <c r="J15" s="275">
        <f>SUM(J11:J14)/4</f>
        <v>798.75</v>
      </c>
      <c r="K15" s="275">
        <v>9</v>
      </c>
      <c r="L15" s="276">
        <f>SUM(L11:L14)/4</f>
        <v>11.234999999999999</v>
      </c>
      <c r="M15" s="275">
        <v>4</v>
      </c>
      <c r="N15" s="276">
        <f>SUM(N11:N14)/4</f>
        <v>38.5</v>
      </c>
      <c r="O15" s="275">
        <v>4</v>
      </c>
      <c r="P15" s="276">
        <f>SUM(P11:P14)/4</f>
        <v>21.962499999999999</v>
      </c>
      <c r="Q15" s="275">
        <v>4</v>
      </c>
      <c r="R15" s="276">
        <f>SUM(R11:R14)/4</f>
        <v>31.122500000000002</v>
      </c>
      <c r="S15" s="275">
        <f>SUM(S11:S14)/4</f>
        <v>365.5</v>
      </c>
      <c r="T15" s="277"/>
      <c r="U15" s="277"/>
      <c r="V15" s="276">
        <f>SUM(V11:V14)/4</f>
        <v>69.237499999999997</v>
      </c>
      <c r="W15" s="275">
        <v>8</v>
      </c>
      <c r="X15" s="274">
        <f t="shared" si="0"/>
        <v>48</v>
      </c>
    </row>
    <row r="16" spans="1:25" x14ac:dyDescent="0.25">
      <c r="A16" s="179">
        <v>5</v>
      </c>
      <c r="B16" s="39" t="s">
        <v>370</v>
      </c>
      <c r="C16" s="188">
        <v>2.09</v>
      </c>
      <c r="D16" s="189">
        <f t="shared" ref="D16" si="1">C16*100/AVERAGE($C$11:$C$14)</f>
        <v>98.46878680800944</v>
      </c>
      <c r="E16" s="295">
        <v>10</v>
      </c>
      <c r="F16" s="295">
        <v>9</v>
      </c>
      <c r="G16" s="295">
        <v>9</v>
      </c>
      <c r="H16" s="295">
        <v>45</v>
      </c>
      <c r="I16" s="295">
        <v>195</v>
      </c>
      <c r="J16" s="186">
        <v>715</v>
      </c>
      <c r="K16" s="295">
        <v>3</v>
      </c>
      <c r="L16" s="187">
        <v>12.06</v>
      </c>
      <c r="M16" s="295">
        <v>6</v>
      </c>
      <c r="N16" s="187">
        <v>31.6</v>
      </c>
      <c r="O16" s="295">
        <v>3</v>
      </c>
      <c r="P16" s="187">
        <v>22.96</v>
      </c>
      <c r="Q16" s="295">
        <v>5</v>
      </c>
      <c r="R16" s="187">
        <v>33.79</v>
      </c>
      <c r="S16" s="194">
        <v>337</v>
      </c>
      <c r="T16" s="194" t="s">
        <v>372</v>
      </c>
      <c r="U16" s="194" t="s">
        <v>371</v>
      </c>
      <c r="V16" s="187">
        <v>66.400000000000006</v>
      </c>
      <c r="W16" s="295">
        <v>4</v>
      </c>
      <c r="X16" s="295">
        <f>SUM(E16+F16+K16+M16+O16+Q16+W16)</f>
        <v>40</v>
      </c>
    </row>
    <row r="17" spans="1:25" x14ac:dyDescent="0.25">
      <c r="K17" s="181"/>
      <c r="L17" s="182"/>
      <c r="M17" s="181"/>
    </row>
    <row r="18" spans="1:25" x14ac:dyDescent="0.25">
      <c r="A18" s="55" t="s">
        <v>81</v>
      </c>
    </row>
    <row r="19" spans="1:25" x14ac:dyDescent="0.25">
      <c r="A19" s="254">
        <v>1</v>
      </c>
      <c r="B19" s="246" t="s">
        <v>203</v>
      </c>
      <c r="C19" s="249">
        <v>1.75</v>
      </c>
      <c r="D19" s="247">
        <v>100</v>
      </c>
      <c r="E19" s="247">
        <v>10</v>
      </c>
      <c r="F19" s="247">
        <v>9</v>
      </c>
      <c r="G19" s="247">
        <v>9</v>
      </c>
      <c r="H19" s="247">
        <v>49</v>
      </c>
      <c r="I19" s="247">
        <v>204</v>
      </c>
      <c r="J19" s="255">
        <v>772</v>
      </c>
      <c r="K19" s="247">
        <v>7</v>
      </c>
      <c r="L19" s="256">
        <v>11.28</v>
      </c>
      <c r="M19" s="247">
        <v>5</v>
      </c>
      <c r="N19" s="250">
        <v>45.2</v>
      </c>
      <c r="O19" s="247">
        <v>6</v>
      </c>
      <c r="P19" s="256">
        <v>20.87</v>
      </c>
      <c r="Q19" s="247">
        <v>4</v>
      </c>
      <c r="R19" s="256">
        <v>30.33</v>
      </c>
      <c r="S19" s="255">
        <v>440</v>
      </c>
      <c r="T19" s="255" t="s">
        <v>341</v>
      </c>
      <c r="U19" s="255" t="s">
        <v>336</v>
      </c>
      <c r="V19" s="256">
        <v>69.040000000000006</v>
      </c>
      <c r="W19" s="247">
        <v>7</v>
      </c>
      <c r="X19" s="247">
        <f>SUM(E19+F19+K19+M19+O19+Q19+W19)</f>
        <v>48</v>
      </c>
      <c r="Y19" s="298">
        <f>SUM(X19:X22)/4</f>
        <v>49.25</v>
      </c>
    </row>
    <row r="20" spans="1:25" x14ac:dyDescent="0.25">
      <c r="A20" s="254">
        <v>2</v>
      </c>
      <c r="B20" s="246" t="s">
        <v>204</v>
      </c>
      <c r="C20" s="249">
        <v>1.68</v>
      </c>
      <c r="D20" s="247">
        <v>100</v>
      </c>
      <c r="E20" s="247">
        <v>10</v>
      </c>
      <c r="F20" s="247">
        <v>9</v>
      </c>
      <c r="G20" s="247">
        <v>9</v>
      </c>
      <c r="H20" s="247">
        <v>52</v>
      </c>
      <c r="I20" s="247">
        <v>204</v>
      </c>
      <c r="J20" s="252">
        <v>795</v>
      </c>
      <c r="K20" s="247">
        <v>8</v>
      </c>
      <c r="L20" s="257">
        <v>10.91</v>
      </c>
      <c r="M20" s="247">
        <v>4</v>
      </c>
      <c r="N20" s="250">
        <v>36.15</v>
      </c>
      <c r="O20" s="247">
        <v>4</v>
      </c>
      <c r="P20" s="257">
        <v>21.42</v>
      </c>
      <c r="Q20" s="247">
        <v>4</v>
      </c>
      <c r="R20" s="257">
        <v>26.84</v>
      </c>
      <c r="S20" s="252">
        <v>357</v>
      </c>
      <c r="T20" s="252" t="s">
        <v>341</v>
      </c>
      <c r="U20" s="255" t="s">
        <v>336</v>
      </c>
      <c r="V20" s="257">
        <v>69.59</v>
      </c>
      <c r="W20" s="247">
        <v>8</v>
      </c>
      <c r="X20" s="247">
        <f t="shared" ref="X20:X24" si="2">SUM(E20+F20+K20+M20+O20+Q20+W20)</f>
        <v>47</v>
      </c>
    </row>
    <row r="21" spans="1:25" x14ac:dyDescent="0.25">
      <c r="A21" s="254">
        <v>3</v>
      </c>
      <c r="B21" s="246" t="s">
        <v>205</v>
      </c>
      <c r="C21" s="249">
        <v>1.66</v>
      </c>
      <c r="D21" s="247">
        <v>100</v>
      </c>
      <c r="E21" s="247">
        <v>10</v>
      </c>
      <c r="F21" s="247">
        <v>9</v>
      </c>
      <c r="G21" s="247">
        <v>9</v>
      </c>
      <c r="H21" s="247">
        <v>36</v>
      </c>
      <c r="I21" s="247">
        <v>201</v>
      </c>
      <c r="J21" s="252">
        <v>778</v>
      </c>
      <c r="K21" s="247">
        <v>7</v>
      </c>
      <c r="L21" s="257">
        <v>12.61</v>
      </c>
      <c r="M21" s="247">
        <v>6</v>
      </c>
      <c r="N21" s="250">
        <v>40.97</v>
      </c>
      <c r="O21" s="247">
        <v>5</v>
      </c>
      <c r="P21" s="257">
        <v>25.51</v>
      </c>
      <c r="Q21" s="247">
        <v>8</v>
      </c>
      <c r="R21" s="257">
        <v>44.67</v>
      </c>
      <c r="S21" s="252">
        <v>330</v>
      </c>
      <c r="T21" s="252" t="s">
        <v>339</v>
      </c>
      <c r="U21" s="255" t="s">
        <v>336</v>
      </c>
      <c r="V21" s="257">
        <v>68.73</v>
      </c>
      <c r="W21" s="247">
        <v>7</v>
      </c>
      <c r="X21" s="247">
        <f t="shared" si="2"/>
        <v>52</v>
      </c>
    </row>
    <row r="22" spans="1:25" x14ac:dyDescent="0.25">
      <c r="A22" s="254">
        <v>4</v>
      </c>
      <c r="B22" s="246" t="s">
        <v>206</v>
      </c>
      <c r="C22" s="249">
        <v>1.75</v>
      </c>
      <c r="D22" s="247">
        <v>100</v>
      </c>
      <c r="E22" s="247">
        <v>10</v>
      </c>
      <c r="F22" s="247">
        <v>9</v>
      </c>
      <c r="G22" s="247">
        <v>9</v>
      </c>
      <c r="H22" s="247">
        <v>59</v>
      </c>
      <c r="I22" s="247">
        <v>201</v>
      </c>
      <c r="J22" s="252">
        <v>799</v>
      </c>
      <c r="K22" s="247">
        <v>8</v>
      </c>
      <c r="L22" s="257">
        <v>11.67</v>
      </c>
      <c r="M22" s="247">
        <v>5</v>
      </c>
      <c r="N22" s="250">
        <v>45.44</v>
      </c>
      <c r="O22" s="247">
        <v>6</v>
      </c>
      <c r="P22" s="257">
        <v>23.04</v>
      </c>
      <c r="Q22" s="247">
        <v>5</v>
      </c>
      <c r="R22" s="257">
        <v>32.29</v>
      </c>
      <c r="S22" s="252">
        <v>379</v>
      </c>
      <c r="T22" s="252" t="s">
        <v>339</v>
      </c>
      <c r="U22" s="255" t="s">
        <v>336</v>
      </c>
      <c r="V22" s="257">
        <v>69.08</v>
      </c>
      <c r="W22" s="247">
        <v>7</v>
      </c>
      <c r="X22" s="247">
        <f t="shared" si="2"/>
        <v>50</v>
      </c>
    </row>
    <row r="23" spans="1:25" x14ac:dyDescent="0.25">
      <c r="A23" s="271"/>
      <c r="B23" s="272" t="s">
        <v>300</v>
      </c>
      <c r="C23" s="273">
        <f>SUM(C19:C22)/4</f>
        <v>1.71</v>
      </c>
      <c r="D23" s="274">
        <v>100</v>
      </c>
      <c r="E23" s="274">
        <v>10</v>
      </c>
      <c r="F23" s="275">
        <f t="shared" ref="F23:L23" si="3">SUM(F19:F22)/4</f>
        <v>9</v>
      </c>
      <c r="G23" s="275">
        <f t="shared" si="3"/>
        <v>9</v>
      </c>
      <c r="H23" s="275">
        <f t="shared" si="3"/>
        <v>49</v>
      </c>
      <c r="I23" s="275">
        <f t="shared" si="3"/>
        <v>202.5</v>
      </c>
      <c r="J23" s="275">
        <f t="shared" si="3"/>
        <v>786</v>
      </c>
      <c r="K23" s="275">
        <v>8</v>
      </c>
      <c r="L23" s="276">
        <f t="shared" si="3"/>
        <v>11.6175</v>
      </c>
      <c r="M23" s="275">
        <v>5</v>
      </c>
      <c r="N23" s="276">
        <f>SUM(N19:N22)/4</f>
        <v>41.94</v>
      </c>
      <c r="O23" s="275">
        <v>5</v>
      </c>
      <c r="P23" s="276">
        <f t="shared" ref="P23" si="4">SUM(P19:P22)/4</f>
        <v>22.71</v>
      </c>
      <c r="Q23" s="275">
        <v>5</v>
      </c>
      <c r="R23" s="276">
        <f t="shared" ref="R23:S23" si="5">SUM(R19:R22)/4</f>
        <v>33.532499999999999</v>
      </c>
      <c r="S23" s="275">
        <f t="shared" si="5"/>
        <v>376.5</v>
      </c>
      <c r="T23" s="278"/>
      <c r="U23" s="279"/>
      <c r="V23" s="276">
        <f t="shared" ref="V23" si="6">SUM(V19:V22)/4</f>
        <v>69.11</v>
      </c>
      <c r="W23" s="275">
        <v>7</v>
      </c>
      <c r="X23" s="274">
        <f t="shared" si="2"/>
        <v>49</v>
      </c>
    </row>
    <row r="24" spans="1:25" x14ac:dyDescent="0.25">
      <c r="A24" s="179">
        <v>5</v>
      </c>
      <c r="B24" s="39" t="s">
        <v>370</v>
      </c>
      <c r="C24" s="188">
        <v>1.7</v>
      </c>
      <c r="D24" s="189">
        <f t="shared" ref="D24" si="7">C24*100/AVERAGE($C$19:$C$22)</f>
        <v>99.415204678362571</v>
      </c>
      <c r="E24" s="295">
        <v>10</v>
      </c>
      <c r="F24" s="295">
        <v>9</v>
      </c>
      <c r="G24" s="295">
        <v>9</v>
      </c>
      <c r="H24" s="295">
        <v>66</v>
      </c>
      <c r="I24" s="295">
        <v>204</v>
      </c>
      <c r="J24" s="193">
        <v>745</v>
      </c>
      <c r="K24" s="295">
        <v>5</v>
      </c>
      <c r="L24" s="57">
        <v>11.28</v>
      </c>
      <c r="M24" s="295">
        <v>5</v>
      </c>
      <c r="N24" s="187">
        <v>42.45</v>
      </c>
      <c r="O24" s="295">
        <v>5</v>
      </c>
      <c r="P24" s="57">
        <v>21.86</v>
      </c>
      <c r="Q24" s="295">
        <v>4</v>
      </c>
      <c r="R24" s="57">
        <v>29.37</v>
      </c>
      <c r="S24" s="194">
        <v>406</v>
      </c>
      <c r="T24" s="194" t="s">
        <v>341</v>
      </c>
      <c r="U24" s="183" t="s">
        <v>336</v>
      </c>
      <c r="V24" s="57">
        <v>68.209999999999994</v>
      </c>
      <c r="W24" s="295">
        <v>6</v>
      </c>
      <c r="X24" s="295">
        <f t="shared" si="2"/>
        <v>44</v>
      </c>
    </row>
    <row r="26" spans="1:25" x14ac:dyDescent="0.25">
      <c r="A26" s="99" t="s">
        <v>293</v>
      </c>
    </row>
    <row r="27" spans="1:25" x14ac:dyDescent="0.25">
      <c r="A27" s="254">
        <v>1</v>
      </c>
      <c r="B27" s="246" t="s">
        <v>203</v>
      </c>
      <c r="C27" s="249">
        <f>SUM(C11+C19)/2</f>
        <v>2.15</v>
      </c>
      <c r="D27" s="247">
        <v>100</v>
      </c>
      <c r="E27" s="247">
        <v>10</v>
      </c>
      <c r="F27" s="251">
        <f>SUM(F11+F19)/2</f>
        <v>9</v>
      </c>
      <c r="G27" s="252">
        <f>SUM(G11+G19)/2</f>
        <v>9</v>
      </c>
      <c r="H27" s="251">
        <f>SUM(H11+H19)/2</f>
        <v>45.5</v>
      </c>
      <c r="I27" s="252">
        <f>SUM(I11+I19)/2</f>
        <v>199.5</v>
      </c>
      <c r="J27" s="251">
        <f>SUM(J11+J19)/2</f>
        <v>783.5</v>
      </c>
      <c r="K27" s="247">
        <v>7</v>
      </c>
      <c r="L27" s="250">
        <f>SUM(L11+L19)/2</f>
        <v>11.065</v>
      </c>
      <c r="M27" s="247">
        <v>4</v>
      </c>
      <c r="N27" s="250">
        <f>SUM(N11+N19)/2</f>
        <v>43.1</v>
      </c>
      <c r="O27" s="247">
        <v>6</v>
      </c>
      <c r="P27" s="250">
        <f>SUM(P11+P19)/2</f>
        <v>20.634999999999998</v>
      </c>
      <c r="Q27" s="247">
        <v>4</v>
      </c>
      <c r="R27" s="250">
        <f>SUM(R11+R19)/2</f>
        <v>29.68</v>
      </c>
      <c r="S27" s="251">
        <f>SUM(S11+S19)/2</f>
        <v>424.5</v>
      </c>
      <c r="T27" s="251"/>
      <c r="U27" s="251"/>
      <c r="V27" s="250">
        <f>SUM(V11+V19)/2</f>
        <v>69.240000000000009</v>
      </c>
      <c r="W27" s="247">
        <v>8</v>
      </c>
      <c r="X27" s="251">
        <f>SUM(E27+F27+K27+M27+O27+Q27+W27)</f>
        <v>48</v>
      </c>
      <c r="Y27" s="62">
        <f>SUM(X27:X30)/4</f>
        <v>49.75</v>
      </c>
    </row>
    <row r="28" spans="1:25" x14ac:dyDescent="0.25">
      <c r="A28" s="254">
        <v>2</v>
      </c>
      <c r="B28" s="246" t="s">
        <v>204</v>
      </c>
      <c r="C28" s="249">
        <f t="shared" ref="C28:C30" si="8">SUM(C12+C20)/2</f>
        <v>1.83</v>
      </c>
      <c r="D28" s="247">
        <v>100</v>
      </c>
      <c r="E28" s="247">
        <v>10</v>
      </c>
      <c r="F28" s="251">
        <f t="shared" ref="F28:J30" si="9">SUM(F12+F20)/2</f>
        <v>9</v>
      </c>
      <c r="G28" s="252">
        <f t="shared" si="9"/>
        <v>9</v>
      </c>
      <c r="H28" s="251">
        <f t="shared" si="9"/>
        <v>49.5</v>
      </c>
      <c r="I28" s="252">
        <f t="shared" si="9"/>
        <v>199.5</v>
      </c>
      <c r="J28" s="251">
        <f t="shared" si="9"/>
        <v>786.5</v>
      </c>
      <c r="K28" s="247">
        <v>8</v>
      </c>
      <c r="L28" s="250">
        <f t="shared" ref="L28:L30" si="10">SUM(L12+L20)/2</f>
        <v>10.805</v>
      </c>
      <c r="M28" s="247">
        <v>4</v>
      </c>
      <c r="N28" s="250">
        <f t="shared" ref="N28:N30" si="11">SUM(N12+N20)/2</f>
        <v>35.174999999999997</v>
      </c>
      <c r="O28" s="247">
        <v>4</v>
      </c>
      <c r="P28" s="250">
        <f t="shared" ref="P28:P30" si="12">SUM(P12+P20)/2</f>
        <v>21.090000000000003</v>
      </c>
      <c r="Q28" s="247">
        <v>4</v>
      </c>
      <c r="R28" s="250">
        <f t="shared" ref="R28:S30" si="13">SUM(R12+R20)/2</f>
        <v>27.560000000000002</v>
      </c>
      <c r="S28" s="251">
        <f t="shared" si="13"/>
        <v>360</v>
      </c>
      <c r="T28" s="251"/>
      <c r="U28" s="251"/>
      <c r="V28" s="250">
        <f t="shared" ref="V28:V30" si="14">SUM(V12+V20)/2</f>
        <v>69.800000000000011</v>
      </c>
      <c r="W28" s="247">
        <v>8</v>
      </c>
      <c r="X28" s="251">
        <f>SUM(E28+F28+K28+M28+O28+Q28+W28)</f>
        <v>47</v>
      </c>
    </row>
    <row r="29" spans="1:25" x14ac:dyDescent="0.25">
      <c r="A29" s="254">
        <v>3</v>
      </c>
      <c r="B29" s="246" t="s">
        <v>205</v>
      </c>
      <c r="C29" s="249">
        <f t="shared" si="8"/>
        <v>1.7250000000000001</v>
      </c>
      <c r="D29" s="247">
        <v>100</v>
      </c>
      <c r="E29" s="247">
        <v>10</v>
      </c>
      <c r="F29" s="251">
        <f t="shared" si="9"/>
        <v>9</v>
      </c>
      <c r="G29" s="252">
        <f t="shared" si="9"/>
        <v>9</v>
      </c>
      <c r="H29" s="251">
        <f t="shared" si="9"/>
        <v>34.5</v>
      </c>
      <c r="I29" s="252">
        <f t="shared" si="9"/>
        <v>198</v>
      </c>
      <c r="J29" s="251">
        <f t="shared" si="9"/>
        <v>799</v>
      </c>
      <c r="K29" s="247">
        <v>8</v>
      </c>
      <c r="L29" s="250">
        <f t="shared" si="10"/>
        <v>12.434999999999999</v>
      </c>
      <c r="M29" s="247">
        <v>6</v>
      </c>
      <c r="N29" s="250">
        <f t="shared" si="11"/>
        <v>39.534999999999997</v>
      </c>
      <c r="O29" s="247">
        <v>5</v>
      </c>
      <c r="P29" s="250">
        <f t="shared" si="12"/>
        <v>25.204999999999998</v>
      </c>
      <c r="Q29" s="247">
        <v>8</v>
      </c>
      <c r="R29" s="250">
        <f t="shared" si="13"/>
        <v>42.564999999999998</v>
      </c>
      <c r="S29" s="251">
        <f t="shared" si="13"/>
        <v>322.5</v>
      </c>
      <c r="T29" s="251"/>
      <c r="U29" s="251"/>
      <c r="V29" s="250">
        <f t="shared" si="14"/>
        <v>68.635000000000005</v>
      </c>
      <c r="W29" s="247">
        <v>7</v>
      </c>
      <c r="X29" s="251">
        <f t="shared" ref="X29:X32" si="15">SUM(E29+F29+K29+M29+O29+Q29+W29)</f>
        <v>53</v>
      </c>
    </row>
    <row r="30" spans="1:25" x14ac:dyDescent="0.25">
      <c r="A30" s="254">
        <v>4</v>
      </c>
      <c r="B30" s="246" t="s">
        <v>206</v>
      </c>
      <c r="C30" s="249">
        <f t="shared" si="8"/>
        <v>1.96</v>
      </c>
      <c r="D30" s="247">
        <v>100</v>
      </c>
      <c r="E30" s="247">
        <v>10</v>
      </c>
      <c r="F30" s="251">
        <f t="shared" si="9"/>
        <v>9</v>
      </c>
      <c r="G30" s="252">
        <f t="shared" si="9"/>
        <v>9</v>
      </c>
      <c r="H30" s="251">
        <f t="shared" si="9"/>
        <v>52</v>
      </c>
      <c r="I30" s="252">
        <f t="shared" si="9"/>
        <v>198</v>
      </c>
      <c r="J30" s="251">
        <f t="shared" si="9"/>
        <v>800.5</v>
      </c>
      <c r="K30" s="247">
        <v>9</v>
      </c>
      <c r="L30" s="250">
        <f t="shared" si="10"/>
        <v>11.4</v>
      </c>
      <c r="M30" s="247">
        <v>5</v>
      </c>
      <c r="N30" s="250">
        <f t="shared" si="11"/>
        <v>43.07</v>
      </c>
      <c r="O30" s="247">
        <v>6</v>
      </c>
      <c r="P30" s="250">
        <f t="shared" si="12"/>
        <v>22.414999999999999</v>
      </c>
      <c r="Q30" s="247">
        <v>5</v>
      </c>
      <c r="R30" s="250">
        <f t="shared" si="13"/>
        <v>29.504999999999999</v>
      </c>
      <c r="S30" s="251">
        <f t="shared" si="13"/>
        <v>377</v>
      </c>
      <c r="T30" s="251"/>
      <c r="U30" s="251"/>
      <c r="V30" s="250">
        <f t="shared" si="14"/>
        <v>69.02</v>
      </c>
      <c r="W30" s="247">
        <v>7</v>
      </c>
      <c r="X30" s="251">
        <f t="shared" si="15"/>
        <v>51</v>
      </c>
    </row>
    <row r="31" spans="1:25" x14ac:dyDescent="0.25">
      <c r="A31" s="271"/>
      <c r="B31" s="272" t="s">
        <v>300</v>
      </c>
      <c r="C31" s="273">
        <f>SUM(C27:C30)/4</f>
        <v>1.91625</v>
      </c>
      <c r="D31" s="274">
        <v>100</v>
      </c>
      <c r="E31" s="274">
        <v>10</v>
      </c>
      <c r="F31" s="275">
        <f t="shared" ref="F31:J31" si="16">SUM(F27:F30)/4</f>
        <v>9</v>
      </c>
      <c r="G31" s="275">
        <f t="shared" si="16"/>
        <v>9</v>
      </c>
      <c r="H31" s="275">
        <f t="shared" si="16"/>
        <v>45.375</v>
      </c>
      <c r="I31" s="275">
        <f t="shared" si="16"/>
        <v>198.75</v>
      </c>
      <c r="J31" s="275">
        <f t="shared" si="16"/>
        <v>792.375</v>
      </c>
      <c r="K31" s="274">
        <v>9</v>
      </c>
      <c r="L31" s="276">
        <f>SUM(L27:L30)/4</f>
        <v>11.426249999999998</v>
      </c>
      <c r="M31" s="274">
        <v>5</v>
      </c>
      <c r="N31" s="276">
        <f>SUM(N27:N30)/4</f>
        <v>40.22</v>
      </c>
      <c r="O31" s="274">
        <v>5</v>
      </c>
      <c r="P31" s="276">
        <f>SUM(P27:P30)/4</f>
        <v>22.33625</v>
      </c>
      <c r="Q31" s="274">
        <v>5</v>
      </c>
      <c r="R31" s="276">
        <f>SUM(R27:R30)/4</f>
        <v>32.327500000000001</v>
      </c>
      <c r="S31" s="275">
        <f>SUM(S27:S30)/4</f>
        <v>371</v>
      </c>
      <c r="T31" s="275"/>
      <c r="U31" s="275"/>
      <c r="V31" s="276">
        <f>SUM(V27:V30)/4</f>
        <v>69.173749999999998</v>
      </c>
      <c r="W31" s="274">
        <v>8</v>
      </c>
      <c r="X31" s="275">
        <f t="shared" si="15"/>
        <v>51</v>
      </c>
    </row>
    <row r="32" spans="1:25" x14ac:dyDescent="0.25">
      <c r="A32" s="179">
        <v>5</v>
      </c>
      <c r="B32" s="39" t="s">
        <v>370</v>
      </c>
      <c r="C32" s="188">
        <f>SUM(C16+C24)/2</f>
        <v>1.895</v>
      </c>
      <c r="D32" s="189">
        <f>C32*100/AVERAGE($C$27:$C30)</f>
        <v>98.891063274624912</v>
      </c>
      <c r="E32" s="295">
        <v>10</v>
      </c>
      <c r="F32" s="189">
        <f>SUM(F16+F24)/2</f>
        <v>9</v>
      </c>
      <c r="G32" s="194">
        <f>SUM(G16+G24)/2</f>
        <v>9</v>
      </c>
      <c r="H32" s="189">
        <f>SUM(H16+H24)/2</f>
        <v>55.5</v>
      </c>
      <c r="I32" s="194">
        <f>SUM(I16+I24)/2</f>
        <v>199.5</v>
      </c>
      <c r="J32" s="189">
        <f>SUM(J16+J24)/2</f>
        <v>730</v>
      </c>
      <c r="K32" s="190">
        <v>5</v>
      </c>
      <c r="L32" s="191">
        <f>SUM(L16+L24)/2</f>
        <v>11.67</v>
      </c>
      <c r="M32" s="190">
        <v>5</v>
      </c>
      <c r="N32" s="191">
        <f>SUM(N16+N24)/2</f>
        <v>37.025000000000006</v>
      </c>
      <c r="O32" s="190">
        <v>4</v>
      </c>
      <c r="P32" s="191">
        <f>SUM(P16+P24)/2</f>
        <v>22.41</v>
      </c>
      <c r="Q32" s="190">
        <v>5</v>
      </c>
      <c r="R32" s="191">
        <f>SUM(R16+R24)/2</f>
        <v>31.58</v>
      </c>
      <c r="S32" s="189">
        <f>SUM(S16+S24)/2</f>
        <v>371.5</v>
      </c>
      <c r="T32" s="189"/>
      <c r="U32" s="189"/>
      <c r="V32" s="191">
        <f>SUM(V16+V24)/2</f>
        <v>67.305000000000007</v>
      </c>
      <c r="W32" s="295">
        <v>5</v>
      </c>
      <c r="X32" s="186">
        <f t="shared" si="15"/>
        <v>43</v>
      </c>
    </row>
    <row r="35" spans="2:8" x14ac:dyDescent="0.25">
      <c r="B35" s="367" t="s">
        <v>104</v>
      </c>
      <c r="C35" s="367"/>
      <c r="D35" s="367"/>
      <c r="E35" s="367"/>
      <c r="F35" s="367"/>
      <c r="G35" s="385"/>
      <c r="H35" s="385"/>
    </row>
    <row r="36" spans="2:8" x14ac:dyDescent="0.25">
      <c r="B36" s="123" t="s">
        <v>307</v>
      </c>
      <c r="C36" s="363" t="s">
        <v>145</v>
      </c>
      <c r="D36" s="364"/>
      <c r="E36" s="363" t="s">
        <v>105</v>
      </c>
      <c r="F36" s="364"/>
      <c r="G36" s="380"/>
      <c r="H36" s="381"/>
    </row>
    <row r="37" spans="2:8" x14ac:dyDescent="0.25">
      <c r="B37" s="124" t="s">
        <v>106</v>
      </c>
      <c r="C37" s="154"/>
      <c r="D37" s="155"/>
      <c r="E37" s="155"/>
      <c r="F37" s="305"/>
      <c r="G37" s="155"/>
      <c r="H37" s="155"/>
    </row>
    <row r="38" spans="2:8" x14ac:dyDescent="0.25">
      <c r="B38" s="124" t="s">
        <v>156</v>
      </c>
      <c r="C38" s="353"/>
      <c r="D38" s="353"/>
      <c r="E38" s="353" t="s">
        <v>402</v>
      </c>
      <c r="F38" s="353"/>
      <c r="G38" s="394"/>
      <c r="H38" s="395"/>
    </row>
    <row r="39" spans="2:8" x14ac:dyDescent="0.25">
      <c r="B39" s="124" t="s">
        <v>107</v>
      </c>
      <c r="C39" s="363">
        <v>2.5</v>
      </c>
      <c r="D39" s="364"/>
      <c r="E39" s="389">
        <v>2.6</v>
      </c>
      <c r="F39" s="390"/>
      <c r="G39" s="396"/>
      <c r="H39" s="397"/>
    </row>
    <row r="40" spans="2:8" x14ac:dyDescent="0.25">
      <c r="B40" s="124" t="s">
        <v>108</v>
      </c>
      <c r="C40" s="363">
        <v>6.74</v>
      </c>
      <c r="D40" s="364"/>
      <c r="E40" s="391">
        <v>5.9</v>
      </c>
      <c r="F40" s="392"/>
      <c r="G40" s="396"/>
      <c r="H40" s="397"/>
    </row>
    <row r="41" spans="2:8" x14ac:dyDescent="0.25">
      <c r="B41" s="124" t="s">
        <v>109</v>
      </c>
      <c r="C41" s="363">
        <v>243</v>
      </c>
      <c r="D41" s="364"/>
      <c r="E41" s="389">
        <v>123</v>
      </c>
      <c r="F41" s="390"/>
      <c r="G41" s="396"/>
      <c r="H41" s="397"/>
    </row>
    <row r="42" spans="2:8" x14ac:dyDescent="0.25">
      <c r="B42" s="124" t="s">
        <v>110</v>
      </c>
      <c r="C42" s="363">
        <v>1106</v>
      </c>
      <c r="D42" s="364"/>
      <c r="E42" s="389">
        <v>206</v>
      </c>
      <c r="F42" s="390"/>
      <c r="G42" s="396"/>
      <c r="H42" s="397"/>
    </row>
    <row r="43" spans="2:8" x14ac:dyDescent="0.25">
      <c r="B43" s="124" t="s">
        <v>119</v>
      </c>
      <c r="C43" s="363" t="s">
        <v>404</v>
      </c>
      <c r="D43" s="357"/>
      <c r="E43" s="356" t="s">
        <v>173</v>
      </c>
      <c r="F43" s="362"/>
      <c r="G43" s="394"/>
      <c r="H43" s="395"/>
    </row>
    <row r="44" spans="2:8" x14ac:dyDescent="0.25">
      <c r="B44" s="124" t="s">
        <v>140</v>
      </c>
      <c r="C44" s="382" t="s">
        <v>141</v>
      </c>
      <c r="D44" s="383"/>
      <c r="E44" s="356" t="s">
        <v>241</v>
      </c>
      <c r="F44" s="362"/>
      <c r="G44" s="394"/>
      <c r="H44" s="395"/>
    </row>
    <row r="45" spans="2:8" x14ac:dyDescent="0.25">
      <c r="B45" s="124" t="s">
        <v>111</v>
      </c>
      <c r="C45" s="353" t="s">
        <v>405</v>
      </c>
      <c r="D45" s="353"/>
      <c r="E45" s="358" t="s">
        <v>403</v>
      </c>
      <c r="F45" s="358"/>
      <c r="G45" s="393"/>
      <c r="H45" s="394"/>
    </row>
    <row r="46" spans="2:8" x14ac:dyDescent="0.25">
      <c r="B46" s="123" t="s">
        <v>142</v>
      </c>
      <c r="C46" s="357" t="s">
        <v>322</v>
      </c>
      <c r="D46" s="364"/>
      <c r="E46" s="377" t="s">
        <v>624</v>
      </c>
      <c r="F46" s="358"/>
      <c r="G46" s="393"/>
      <c r="H46" s="394"/>
    </row>
    <row r="47" spans="2:8" x14ac:dyDescent="0.25">
      <c r="B47" s="123" t="s">
        <v>143</v>
      </c>
      <c r="C47" s="357" t="s">
        <v>323</v>
      </c>
      <c r="D47" s="364"/>
      <c r="E47" s="358" t="s">
        <v>533</v>
      </c>
      <c r="F47" s="358"/>
      <c r="G47" s="393"/>
      <c r="H47" s="394"/>
    </row>
    <row r="48" spans="2:8" x14ac:dyDescent="0.25">
      <c r="B48" s="123" t="s">
        <v>112</v>
      </c>
      <c r="C48" s="357" t="s">
        <v>324</v>
      </c>
      <c r="D48" s="364"/>
      <c r="E48" s="358" t="s">
        <v>338</v>
      </c>
      <c r="F48" s="358"/>
      <c r="G48" s="393"/>
      <c r="H48" s="394"/>
    </row>
    <row r="49" spans="2:8" x14ac:dyDescent="0.25">
      <c r="B49" s="124" t="s">
        <v>113</v>
      </c>
      <c r="C49" s="154"/>
      <c r="D49" s="155"/>
      <c r="E49" s="155"/>
      <c r="F49" s="305"/>
      <c r="G49" s="155"/>
      <c r="H49" s="155"/>
    </row>
    <row r="50" spans="2:8" x14ac:dyDescent="0.25">
      <c r="B50" s="124" t="s">
        <v>114</v>
      </c>
      <c r="C50" s="125"/>
      <c r="D50" s="292"/>
      <c r="E50" s="211"/>
      <c r="F50" s="293"/>
      <c r="G50" s="299"/>
      <c r="H50" s="300"/>
    </row>
    <row r="51" spans="2:8" x14ac:dyDescent="0.25">
      <c r="B51" s="124" t="s">
        <v>138</v>
      </c>
      <c r="C51" s="124"/>
      <c r="D51" s="292"/>
      <c r="E51" s="211"/>
      <c r="F51" s="293"/>
      <c r="G51" s="301"/>
      <c r="H51" s="300"/>
    </row>
    <row r="52" spans="2:8" x14ac:dyDescent="0.25">
      <c r="B52" s="124" t="s">
        <v>138</v>
      </c>
      <c r="C52" s="124"/>
      <c r="D52" s="292"/>
      <c r="E52" s="211"/>
      <c r="F52" s="293"/>
      <c r="G52" s="301"/>
      <c r="H52" s="300"/>
    </row>
    <row r="53" spans="2:8" x14ac:dyDescent="0.25">
      <c r="B53" s="124" t="s">
        <v>138</v>
      </c>
      <c r="C53" s="124"/>
      <c r="D53" s="292"/>
      <c r="E53" s="211"/>
      <c r="F53" s="293"/>
      <c r="G53" s="302"/>
      <c r="H53" s="303"/>
    </row>
    <row r="54" spans="2:8" x14ac:dyDescent="0.25">
      <c r="B54" s="124"/>
      <c r="C54" s="124"/>
      <c r="D54" s="292"/>
      <c r="E54" s="211"/>
      <c r="F54" s="293"/>
      <c r="G54" s="302"/>
      <c r="H54" s="304"/>
    </row>
  </sheetData>
  <mergeCells count="46">
    <mergeCell ref="A7:A8"/>
    <mergeCell ref="B7:B8"/>
    <mergeCell ref="C7:E7"/>
    <mergeCell ref="J7:K7"/>
    <mergeCell ref="L7:M7"/>
    <mergeCell ref="P7:Q7"/>
    <mergeCell ref="V7:W7"/>
    <mergeCell ref="X7:X8"/>
    <mergeCell ref="B35:H35"/>
    <mergeCell ref="C36:D36"/>
    <mergeCell ref="E36:F36"/>
    <mergeCell ref="G36:H36"/>
    <mergeCell ref="N7:O7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8:D48"/>
    <mergeCell ref="E48:F48"/>
    <mergeCell ref="G48:H48"/>
    <mergeCell ref="C46:D46"/>
    <mergeCell ref="E46:F46"/>
    <mergeCell ref="G46:H46"/>
    <mergeCell ref="C47:D47"/>
    <mergeCell ref="E47:F47"/>
    <mergeCell ref="G47:H47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54"/>
  <sheetViews>
    <sheetView workbookViewId="0">
      <pane ySplit="1" topLeftCell="A2" activePane="bottomLeft" state="frozen"/>
      <selection pane="bottomLeft" activeCell="G4" sqref="G4"/>
    </sheetView>
  </sheetViews>
  <sheetFormatPr defaultRowHeight="15" x14ac:dyDescent="0.25"/>
  <cols>
    <col min="1" max="1" width="4" customWidth="1"/>
    <col min="2" max="2" width="27.140625" customWidth="1"/>
    <col min="3" max="3" width="13.7109375" customWidth="1"/>
    <col min="4" max="4" width="24.7109375" customWidth="1"/>
    <col min="5" max="5" width="12.28515625" customWidth="1"/>
    <col min="6" max="6" width="23.7109375" customWidth="1"/>
    <col min="7" max="7" width="23.7109375" style="87" customWidth="1"/>
    <col min="8" max="8" width="13.7109375" customWidth="1"/>
    <col min="9" max="9" width="21.28515625" customWidth="1"/>
  </cols>
  <sheetData>
    <row r="2" spans="1:17" x14ac:dyDescent="0.25">
      <c r="B2" s="25" t="s">
        <v>406</v>
      </c>
    </row>
    <row r="3" spans="1:17" x14ac:dyDescent="0.25">
      <c r="B3" s="24" t="s">
        <v>407</v>
      </c>
    </row>
    <row r="5" spans="1:17" ht="15.75" x14ac:dyDescent="0.25">
      <c r="A5" s="63" t="s">
        <v>44</v>
      </c>
    </row>
    <row r="7" spans="1:17" ht="140.25" x14ac:dyDescent="0.25">
      <c r="A7" s="372" t="s">
        <v>1</v>
      </c>
      <c r="B7" s="372" t="s">
        <v>2</v>
      </c>
      <c r="C7" s="372" t="s">
        <v>45</v>
      </c>
      <c r="D7" s="372"/>
      <c r="E7" s="372"/>
      <c r="F7" s="65" t="s">
        <v>4</v>
      </c>
      <c r="G7" s="162" t="s">
        <v>298</v>
      </c>
      <c r="H7" s="65" t="s">
        <v>5</v>
      </c>
      <c r="I7" s="65" t="s">
        <v>28</v>
      </c>
      <c r="J7" s="65" t="s">
        <v>7</v>
      </c>
      <c r="K7" s="65" t="s">
        <v>46</v>
      </c>
      <c r="L7" s="398" t="s">
        <v>47</v>
      </c>
      <c r="M7" s="398"/>
      <c r="N7" s="398"/>
      <c r="O7" s="65" t="s">
        <v>48</v>
      </c>
      <c r="P7" s="68" t="s">
        <v>8</v>
      </c>
      <c r="Q7" s="371" t="s">
        <v>13</v>
      </c>
    </row>
    <row r="8" spans="1:17" ht="76.5" x14ac:dyDescent="0.25">
      <c r="A8" s="372"/>
      <c r="B8" s="372"/>
      <c r="C8" s="65" t="s">
        <v>14</v>
      </c>
      <c r="D8" s="65" t="s">
        <v>15</v>
      </c>
      <c r="E8" s="65" t="s">
        <v>16</v>
      </c>
      <c r="F8" s="65" t="s">
        <v>17</v>
      </c>
      <c r="G8" s="162" t="s">
        <v>21</v>
      </c>
      <c r="H8" s="65" t="s">
        <v>16</v>
      </c>
      <c r="I8" s="65" t="s">
        <v>18</v>
      </c>
      <c r="J8" s="65" t="s">
        <v>19</v>
      </c>
      <c r="K8" s="65" t="s">
        <v>21</v>
      </c>
      <c r="L8" s="65" t="s">
        <v>49</v>
      </c>
      <c r="M8" s="66" t="s">
        <v>15</v>
      </c>
      <c r="N8" s="66" t="s">
        <v>16</v>
      </c>
      <c r="O8" s="66" t="s">
        <v>22</v>
      </c>
      <c r="P8" s="65" t="s">
        <v>58</v>
      </c>
      <c r="Q8" s="371"/>
    </row>
    <row r="9" spans="1:17" s="61" customFormat="1" x14ac:dyDescent="0.25">
      <c r="A9" s="64"/>
      <c r="B9" s="64"/>
      <c r="C9" s="64"/>
      <c r="D9" s="64"/>
      <c r="E9" s="64"/>
      <c r="F9" s="64"/>
      <c r="G9" s="101"/>
      <c r="H9" s="64"/>
      <c r="I9" s="64"/>
      <c r="J9" s="64"/>
      <c r="K9" s="64"/>
      <c r="L9" s="64"/>
      <c r="M9" s="67"/>
      <c r="N9" s="67"/>
      <c r="O9" s="67"/>
      <c r="P9" s="64"/>
      <c r="Q9" s="38"/>
    </row>
    <row r="10" spans="1:17" x14ac:dyDescent="0.25">
      <c r="A10" s="55" t="s">
        <v>82</v>
      </c>
    </row>
    <row r="11" spans="1:17" s="83" customFormat="1" ht="12.75" x14ac:dyDescent="0.2">
      <c r="A11" s="254">
        <v>1</v>
      </c>
      <c r="B11" s="254" t="s">
        <v>50</v>
      </c>
      <c r="C11" s="249"/>
      <c r="D11" s="247"/>
      <c r="E11" s="247"/>
      <c r="F11" s="251">
        <f>(5+4)/2</f>
        <v>4.5</v>
      </c>
      <c r="G11" s="251">
        <f>(59+47)/2</f>
        <v>53</v>
      </c>
      <c r="H11" s="247"/>
      <c r="I11" s="251"/>
      <c r="J11" s="258"/>
      <c r="K11" s="250"/>
      <c r="L11" s="259"/>
      <c r="M11" s="247"/>
      <c r="N11" s="247"/>
      <c r="O11" s="260"/>
      <c r="P11" s="250"/>
      <c r="Q11" s="261">
        <f>F11</f>
        <v>4.5</v>
      </c>
    </row>
    <row r="12" spans="1:17" s="83" customFormat="1" ht="12.75" x14ac:dyDescent="0.2">
      <c r="A12" s="254">
        <v>2</v>
      </c>
      <c r="B12" s="262" t="s">
        <v>473</v>
      </c>
      <c r="C12" s="249"/>
      <c r="D12" s="251"/>
      <c r="E12" s="247"/>
      <c r="F12" s="247">
        <f>(6+6)/2</f>
        <v>6</v>
      </c>
      <c r="G12" s="251">
        <f>(66+61)/2</f>
        <v>63.5</v>
      </c>
      <c r="H12" s="247"/>
      <c r="I12" s="247"/>
      <c r="J12" s="258"/>
      <c r="K12" s="263"/>
      <c r="L12" s="259"/>
      <c r="M12" s="251"/>
      <c r="N12" s="247"/>
      <c r="O12" s="260"/>
      <c r="P12" s="263"/>
      <c r="Q12" s="261">
        <f>F12</f>
        <v>6</v>
      </c>
    </row>
    <row r="13" spans="1:17" s="83" customFormat="1" ht="12.75" x14ac:dyDescent="0.2">
      <c r="A13" s="254"/>
      <c r="B13" s="262" t="s">
        <v>300</v>
      </c>
      <c r="C13" s="249"/>
      <c r="D13" s="251"/>
      <c r="E13" s="247"/>
      <c r="F13" s="251">
        <f>(F11+F12)/2</f>
        <v>5.25</v>
      </c>
      <c r="G13" s="251">
        <f>(G11+G12)/2</f>
        <v>58.25</v>
      </c>
      <c r="H13" s="247"/>
      <c r="I13" s="247"/>
      <c r="J13" s="258"/>
      <c r="K13" s="263"/>
      <c r="L13" s="259"/>
      <c r="M13" s="251"/>
      <c r="N13" s="247"/>
      <c r="O13" s="260"/>
      <c r="P13" s="263"/>
      <c r="Q13" s="261"/>
    </row>
    <row r="14" spans="1:17" s="83" customFormat="1" ht="12.75" x14ac:dyDescent="0.2">
      <c r="A14" s="56">
        <v>3</v>
      </c>
      <c r="B14" s="169" t="s">
        <v>191</v>
      </c>
      <c r="C14" s="44"/>
      <c r="D14" s="42"/>
      <c r="E14" s="41"/>
      <c r="F14" s="308">
        <v>4</v>
      </c>
      <c r="G14" s="308">
        <v>47</v>
      </c>
      <c r="H14" s="41"/>
      <c r="I14" s="41"/>
      <c r="J14" s="172"/>
      <c r="K14" s="174"/>
      <c r="L14" s="173"/>
      <c r="M14" s="42"/>
      <c r="N14" s="41"/>
      <c r="O14" s="196"/>
      <c r="P14" s="174"/>
      <c r="Q14" s="175">
        <f t="shared" ref="Q14:Q33" si="0">F14</f>
        <v>4</v>
      </c>
    </row>
    <row r="15" spans="1:17" s="83" customFormat="1" ht="12.75" x14ac:dyDescent="0.2">
      <c r="A15" s="56">
        <v>4</v>
      </c>
      <c r="B15" s="169" t="s">
        <v>192</v>
      </c>
      <c r="C15" s="44"/>
      <c r="D15" s="42"/>
      <c r="E15" s="41"/>
      <c r="F15" s="295">
        <v>6</v>
      </c>
      <c r="G15" s="295">
        <v>67</v>
      </c>
      <c r="H15" s="41"/>
      <c r="I15" s="41"/>
      <c r="J15" s="172"/>
      <c r="K15" s="174"/>
      <c r="L15" s="173"/>
      <c r="M15" s="42"/>
      <c r="N15" s="41"/>
      <c r="O15" s="196"/>
      <c r="P15" s="174"/>
      <c r="Q15" s="175">
        <f t="shared" si="0"/>
        <v>6</v>
      </c>
    </row>
    <row r="16" spans="1:17" s="83" customFormat="1" ht="12.75" x14ac:dyDescent="0.2">
      <c r="A16" s="56">
        <v>5</v>
      </c>
      <c r="B16" s="169" t="s">
        <v>193</v>
      </c>
      <c r="C16" s="44"/>
      <c r="D16" s="42"/>
      <c r="E16" s="41"/>
      <c r="F16" s="295">
        <v>5</v>
      </c>
      <c r="G16" s="295">
        <v>58</v>
      </c>
      <c r="H16" s="41"/>
      <c r="I16" s="41"/>
      <c r="J16" s="172"/>
      <c r="K16" s="174"/>
      <c r="L16" s="173"/>
      <c r="M16" s="42"/>
      <c r="N16" s="41"/>
      <c r="O16" s="196"/>
      <c r="P16" s="174"/>
      <c r="Q16" s="175">
        <f t="shared" si="0"/>
        <v>5</v>
      </c>
    </row>
    <row r="17" spans="1:18" s="83" customFormat="1" ht="12.75" x14ac:dyDescent="0.2">
      <c r="A17" s="56">
        <v>6</v>
      </c>
      <c r="B17" s="169" t="s">
        <v>474</v>
      </c>
      <c r="C17" s="44"/>
      <c r="D17" s="42"/>
      <c r="E17" s="41"/>
      <c r="F17" s="295">
        <v>5</v>
      </c>
      <c r="G17" s="295">
        <v>58</v>
      </c>
      <c r="H17" s="41"/>
      <c r="I17" s="41"/>
      <c r="J17" s="172"/>
      <c r="K17" s="174"/>
      <c r="L17" s="173"/>
      <c r="M17" s="42"/>
      <c r="N17" s="41"/>
      <c r="O17" s="196"/>
      <c r="P17" s="174"/>
      <c r="Q17" s="175">
        <f t="shared" si="0"/>
        <v>5</v>
      </c>
    </row>
    <row r="18" spans="1:18" s="83" customFormat="1" ht="12.75" x14ac:dyDescent="0.2">
      <c r="A18" s="56">
        <v>7</v>
      </c>
      <c r="B18" s="169" t="s">
        <v>475</v>
      </c>
      <c r="C18" s="44"/>
      <c r="D18" s="42"/>
      <c r="E18" s="41"/>
      <c r="F18" s="295">
        <v>7</v>
      </c>
      <c r="G18" s="295">
        <v>71</v>
      </c>
      <c r="H18" s="41"/>
      <c r="I18" s="41"/>
      <c r="J18" s="172"/>
      <c r="K18" s="174"/>
      <c r="L18" s="173"/>
      <c r="M18" s="42"/>
      <c r="N18" s="41"/>
      <c r="O18" s="196"/>
      <c r="P18" s="174"/>
      <c r="Q18" s="175">
        <f t="shared" si="0"/>
        <v>7</v>
      </c>
    </row>
    <row r="19" spans="1:18" s="83" customFormat="1" ht="12.75" x14ac:dyDescent="0.2">
      <c r="A19" s="56">
        <v>8</v>
      </c>
      <c r="B19" s="169" t="s">
        <v>476</v>
      </c>
      <c r="C19" s="44"/>
      <c r="D19" s="42"/>
      <c r="E19" s="41"/>
      <c r="F19" s="295">
        <v>7</v>
      </c>
      <c r="G19" s="295">
        <v>77</v>
      </c>
      <c r="H19" s="41"/>
      <c r="I19" s="41"/>
      <c r="J19" s="172"/>
      <c r="K19" s="174"/>
      <c r="L19" s="173"/>
      <c r="M19" s="42"/>
      <c r="N19" s="41"/>
      <c r="O19" s="196"/>
      <c r="P19" s="174"/>
      <c r="Q19" s="175">
        <f t="shared" si="0"/>
        <v>7</v>
      </c>
    </row>
    <row r="20" spans="1:18" s="83" customFormat="1" ht="12.75" x14ac:dyDescent="0.2">
      <c r="A20" s="56">
        <v>9</v>
      </c>
      <c r="B20" s="169" t="s">
        <v>477</v>
      </c>
      <c r="C20" s="44"/>
      <c r="D20" s="42"/>
      <c r="E20" s="41"/>
      <c r="F20" s="308">
        <v>3</v>
      </c>
      <c r="G20" s="308">
        <v>37</v>
      </c>
      <c r="H20" s="41"/>
      <c r="I20" s="41"/>
      <c r="J20" s="172"/>
      <c r="K20" s="174"/>
      <c r="L20" s="173"/>
      <c r="M20" s="42"/>
      <c r="N20" s="41"/>
      <c r="O20" s="196"/>
      <c r="P20" s="174"/>
      <c r="Q20" s="175">
        <f t="shared" si="0"/>
        <v>3</v>
      </c>
    </row>
    <row r="21" spans="1:18" s="83" customFormat="1" ht="12.75" x14ac:dyDescent="0.2">
      <c r="A21" s="56">
        <v>10</v>
      </c>
      <c r="B21" s="169" t="s">
        <v>478</v>
      </c>
      <c r="C21" s="44"/>
      <c r="D21" s="42"/>
      <c r="E21" s="41"/>
      <c r="F21" s="295">
        <v>7</v>
      </c>
      <c r="G21" s="295">
        <v>78</v>
      </c>
      <c r="H21" s="41"/>
      <c r="I21" s="41"/>
      <c r="J21" s="172"/>
      <c r="K21" s="45"/>
      <c r="L21" s="173"/>
      <c r="M21" s="42"/>
      <c r="N21" s="41"/>
      <c r="O21" s="196"/>
      <c r="P21" s="45"/>
      <c r="Q21" s="175">
        <f t="shared" si="0"/>
        <v>7</v>
      </c>
    </row>
    <row r="22" spans="1:18" s="83" customFormat="1" ht="12.75" x14ac:dyDescent="0.2">
      <c r="A22" s="56">
        <v>11</v>
      </c>
      <c r="B22" s="170" t="s">
        <v>479</v>
      </c>
      <c r="C22" s="44"/>
      <c r="D22" s="42"/>
      <c r="E22" s="41"/>
      <c r="F22" s="295">
        <v>7</v>
      </c>
      <c r="G22" s="295">
        <v>75</v>
      </c>
      <c r="H22" s="41"/>
      <c r="I22" s="41"/>
      <c r="J22" s="172"/>
      <c r="K22" s="174"/>
      <c r="L22" s="173"/>
      <c r="M22" s="42"/>
      <c r="N22" s="41"/>
      <c r="O22" s="196"/>
      <c r="P22" s="174"/>
      <c r="Q22" s="175">
        <f t="shared" si="0"/>
        <v>7</v>
      </c>
    </row>
    <row r="23" spans="1:18" s="83" customFormat="1" ht="12.75" x14ac:dyDescent="0.2">
      <c r="A23" s="56">
        <v>12</v>
      </c>
      <c r="B23" s="170" t="s">
        <v>480</v>
      </c>
      <c r="C23" s="44"/>
      <c r="D23" s="42"/>
      <c r="E23" s="41"/>
      <c r="F23" s="295">
        <v>6</v>
      </c>
      <c r="G23" s="295">
        <v>68</v>
      </c>
      <c r="H23" s="41"/>
      <c r="I23" s="41"/>
      <c r="J23" s="172"/>
      <c r="K23" s="174"/>
      <c r="L23" s="173"/>
      <c r="M23" s="42"/>
      <c r="N23" s="41"/>
      <c r="O23" s="196"/>
      <c r="P23" s="174"/>
      <c r="Q23" s="175">
        <f t="shared" si="0"/>
        <v>6</v>
      </c>
    </row>
    <row r="24" spans="1:18" s="83" customFormat="1" ht="12.75" x14ac:dyDescent="0.2">
      <c r="A24" s="56">
        <v>13</v>
      </c>
      <c r="B24" s="170" t="s">
        <v>195</v>
      </c>
      <c r="C24" s="44"/>
      <c r="D24" s="42"/>
      <c r="E24" s="41"/>
      <c r="F24" s="295">
        <v>6</v>
      </c>
      <c r="G24" s="295">
        <v>67</v>
      </c>
      <c r="H24" s="41"/>
      <c r="I24" s="41"/>
      <c r="J24" s="172"/>
      <c r="K24" s="174"/>
      <c r="L24" s="173"/>
      <c r="M24" s="42"/>
      <c r="N24" s="41"/>
      <c r="O24" s="196"/>
      <c r="P24" s="174"/>
      <c r="Q24" s="175">
        <f t="shared" si="0"/>
        <v>6</v>
      </c>
    </row>
    <row r="25" spans="1:18" s="83" customFormat="1" ht="12.75" x14ac:dyDescent="0.2">
      <c r="A25" s="56">
        <v>14</v>
      </c>
      <c r="B25" s="170" t="s">
        <v>481</v>
      </c>
      <c r="C25" s="44"/>
      <c r="D25" s="42"/>
      <c r="E25" s="41"/>
      <c r="F25" s="295">
        <v>6</v>
      </c>
      <c r="G25" s="295">
        <v>64</v>
      </c>
      <c r="H25" s="41"/>
      <c r="I25" s="41"/>
      <c r="J25" s="172"/>
      <c r="K25" s="174"/>
      <c r="L25" s="173"/>
      <c r="M25" s="42"/>
      <c r="N25" s="41"/>
      <c r="O25" s="196"/>
      <c r="P25" s="174"/>
      <c r="Q25" s="175">
        <f t="shared" si="0"/>
        <v>6</v>
      </c>
    </row>
    <row r="26" spans="1:18" s="83" customFormat="1" ht="12.75" x14ac:dyDescent="0.2">
      <c r="A26" s="56">
        <v>15</v>
      </c>
      <c r="B26" s="170" t="s">
        <v>194</v>
      </c>
      <c r="C26" s="44"/>
      <c r="D26" s="42"/>
      <c r="E26" s="41"/>
      <c r="F26" s="295">
        <v>7</v>
      </c>
      <c r="G26" s="295">
        <v>79</v>
      </c>
      <c r="H26" s="41"/>
      <c r="I26" s="41"/>
      <c r="J26" s="172"/>
      <c r="K26" s="174"/>
      <c r="L26" s="173"/>
      <c r="M26" s="42"/>
      <c r="N26" s="41"/>
      <c r="O26" s="196"/>
      <c r="P26" s="174"/>
      <c r="Q26" s="175">
        <f t="shared" si="0"/>
        <v>7</v>
      </c>
    </row>
    <row r="27" spans="1:18" s="83" customFormat="1" ht="12.75" x14ac:dyDescent="0.2">
      <c r="A27" s="56">
        <v>16</v>
      </c>
      <c r="B27" s="171" t="s">
        <v>482</v>
      </c>
      <c r="C27" s="44"/>
      <c r="D27" s="42"/>
      <c r="E27" s="41"/>
      <c r="F27" s="295">
        <v>5</v>
      </c>
      <c r="G27" s="295">
        <v>56</v>
      </c>
      <c r="H27" s="41"/>
      <c r="I27" s="41"/>
      <c r="J27" s="172"/>
      <c r="K27" s="174"/>
      <c r="L27" s="173"/>
      <c r="M27" s="42"/>
      <c r="N27" s="41"/>
      <c r="O27" s="196"/>
      <c r="P27" s="174"/>
      <c r="Q27" s="175">
        <f t="shared" si="0"/>
        <v>5</v>
      </c>
    </row>
    <row r="28" spans="1:18" s="83" customFormat="1" ht="12.75" x14ac:dyDescent="0.2">
      <c r="A28" s="56">
        <v>17</v>
      </c>
      <c r="B28" s="171" t="s">
        <v>483</v>
      </c>
      <c r="C28" s="44"/>
      <c r="D28" s="186"/>
      <c r="E28" s="295"/>
      <c r="F28" s="295">
        <v>8</v>
      </c>
      <c r="G28" s="295">
        <v>81</v>
      </c>
      <c r="H28" s="295"/>
      <c r="I28" s="295"/>
      <c r="J28" s="172"/>
      <c r="K28" s="174"/>
      <c r="L28" s="173"/>
      <c r="M28" s="186"/>
      <c r="N28" s="295"/>
      <c r="O28" s="196"/>
      <c r="P28" s="174"/>
      <c r="Q28" s="175">
        <f t="shared" si="0"/>
        <v>8</v>
      </c>
    </row>
    <row r="29" spans="1:18" s="83" customFormat="1" ht="12.75" x14ac:dyDescent="0.2">
      <c r="A29" s="56">
        <v>18</v>
      </c>
      <c r="B29" s="171" t="s">
        <v>51</v>
      </c>
      <c r="C29" s="44"/>
      <c r="D29" s="186"/>
      <c r="E29" s="295"/>
      <c r="F29" s="295">
        <v>7</v>
      </c>
      <c r="G29" s="295">
        <v>79</v>
      </c>
      <c r="H29" s="295"/>
      <c r="I29" s="295"/>
      <c r="J29" s="172"/>
      <c r="K29" s="174"/>
      <c r="L29" s="173"/>
      <c r="M29" s="186"/>
      <c r="N29" s="295"/>
      <c r="O29" s="196"/>
      <c r="P29" s="174"/>
      <c r="Q29" s="175">
        <f t="shared" si="0"/>
        <v>7</v>
      </c>
      <c r="R29" s="83" t="s">
        <v>197</v>
      </c>
    </row>
    <row r="30" spans="1:18" s="83" customFormat="1" ht="12.75" x14ac:dyDescent="0.2">
      <c r="A30" s="56">
        <v>19</v>
      </c>
      <c r="B30" s="171" t="s">
        <v>484</v>
      </c>
      <c r="C30" s="44"/>
      <c r="D30" s="186"/>
      <c r="E30" s="295"/>
      <c r="F30" s="295">
        <v>7</v>
      </c>
      <c r="G30" s="295">
        <v>75</v>
      </c>
      <c r="H30" s="295"/>
      <c r="I30" s="295"/>
      <c r="J30" s="172"/>
      <c r="K30" s="174"/>
      <c r="L30" s="173"/>
      <c r="M30" s="186"/>
      <c r="N30" s="295"/>
      <c r="O30" s="196"/>
      <c r="P30" s="174"/>
      <c r="Q30" s="175">
        <f t="shared" si="0"/>
        <v>7</v>
      </c>
    </row>
    <row r="31" spans="1:18" s="83" customFormat="1" ht="12.75" x14ac:dyDescent="0.2">
      <c r="A31" s="179">
        <v>20</v>
      </c>
      <c r="B31" s="171" t="s">
        <v>196</v>
      </c>
      <c r="C31" s="188"/>
      <c r="D31" s="189"/>
      <c r="E31" s="190"/>
      <c r="F31" s="190">
        <v>8</v>
      </c>
      <c r="G31" s="190">
        <v>87</v>
      </c>
      <c r="H31" s="190"/>
      <c r="I31" s="190"/>
      <c r="J31" s="306"/>
      <c r="K31" s="307"/>
      <c r="L31" s="173"/>
      <c r="M31" s="189"/>
      <c r="N31" s="190"/>
      <c r="O31" s="196"/>
      <c r="P31" s="307"/>
      <c r="Q31" s="175">
        <f t="shared" si="0"/>
        <v>8</v>
      </c>
      <c r="R31" s="198"/>
    </row>
    <row r="32" spans="1:18" s="83" customFormat="1" ht="12.75" x14ac:dyDescent="0.2">
      <c r="A32" s="56">
        <v>21</v>
      </c>
      <c r="B32" s="170" t="s">
        <v>485</v>
      </c>
      <c r="C32" s="44"/>
      <c r="D32" s="42"/>
      <c r="E32" s="41"/>
      <c r="F32" s="295">
        <v>6</v>
      </c>
      <c r="G32" s="295">
        <v>69</v>
      </c>
      <c r="H32" s="41"/>
      <c r="I32" s="41"/>
      <c r="J32" s="172"/>
      <c r="K32" s="45"/>
      <c r="L32" s="173"/>
      <c r="M32" s="42"/>
      <c r="N32" s="41"/>
      <c r="O32" s="196"/>
      <c r="P32" s="45"/>
      <c r="Q32" s="175">
        <f t="shared" si="0"/>
        <v>6</v>
      </c>
    </row>
    <row r="33" spans="1:17" s="83" customFormat="1" ht="12.75" x14ac:dyDescent="0.2">
      <c r="A33" s="56">
        <v>22</v>
      </c>
      <c r="B33" s="171" t="s">
        <v>486</v>
      </c>
      <c r="C33" s="44"/>
      <c r="D33" s="42"/>
      <c r="E33" s="41"/>
      <c r="F33" s="295">
        <v>8</v>
      </c>
      <c r="G33" s="295">
        <v>92</v>
      </c>
      <c r="H33" s="41"/>
      <c r="I33" s="41"/>
      <c r="J33" s="172"/>
      <c r="K33" s="45"/>
      <c r="L33" s="173"/>
      <c r="M33" s="42"/>
      <c r="N33" s="41"/>
      <c r="O33" s="196"/>
      <c r="P33" s="45"/>
      <c r="Q33" s="175">
        <f t="shared" si="0"/>
        <v>8</v>
      </c>
    </row>
    <row r="34" spans="1:17" s="83" customFormat="1" ht="12.75" x14ac:dyDescent="0.2"/>
    <row r="35" spans="1:17" s="83" customFormat="1" ht="12.75" x14ac:dyDescent="0.2">
      <c r="A35" s="111" t="s">
        <v>294</v>
      </c>
    </row>
    <row r="36" spans="1:17" s="83" customFormat="1" ht="12.75" x14ac:dyDescent="0.2">
      <c r="A36" s="254">
        <v>1</v>
      </c>
      <c r="B36" s="254" t="s">
        <v>50</v>
      </c>
      <c r="C36" s="249">
        <f>(4.63+5.06)/2</f>
        <v>4.8449999999999998</v>
      </c>
      <c r="D36" s="247">
        <v>100</v>
      </c>
      <c r="E36" s="247">
        <v>10</v>
      </c>
      <c r="F36" s="251">
        <f>(8+8)/2</f>
        <v>8</v>
      </c>
      <c r="G36" s="251">
        <f>(81+87)/2</f>
        <v>84</v>
      </c>
      <c r="H36" s="252">
        <v>9</v>
      </c>
      <c r="I36" s="251">
        <f>(111+116)/2</f>
        <v>113.5</v>
      </c>
      <c r="J36" s="247">
        <v>197</v>
      </c>
      <c r="K36" s="250">
        <f>(49.91+50.28)/2</f>
        <v>50.094999999999999</v>
      </c>
      <c r="L36" s="249">
        <f t="shared" ref="L36:L58" si="1">(((C36*92)/100)*K36)/100</f>
        <v>2.2329345299999996</v>
      </c>
      <c r="M36" s="247">
        <v>100</v>
      </c>
      <c r="N36" s="247">
        <v>5</v>
      </c>
      <c r="O36" s="250">
        <f>(5.1+5)/2</f>
        <v>5.05</v>
      </c>
      <c r="P36" s="250">
        <f>(68.98+69.31)/2</f>
        <v>69.14500000000001</v>
      </c>
      <c r="Q36" s="251">
        <f>(E36+F36+N36)</f>
        <v>23</v>
      </c>
    </row>
    <row r="37" spans="1:17" s="83" customFormat="1" ht="12.75" customHeight="1" x14ac:dyDescent="0.2">
      <c r="A37" s="254">
        <v>2</v>
      </c>
      <c r="B37" s="262" t="s">
        <v>473</v>
      </c>
      <c r="C37" s="249">
        <f>(4.09+4.35)/2</f>
        <v>4.22</v>
      </c>
      <c r="D37" s="251">
        <v>100</v>
      </c>
      <c r="E37" s="247">
        <v>10</v>
      </c>
      <c r="F37" s="247">
        <f>(7+7)/2</f>
        <v>7</v>
      </c>
      <c r="G37" s="251">
        <f>(78+79)/2</f>
        <v>78.5</v>
      </c>
      <c r="H37" s="252">
        <v>9</v>
      </c>
      <c r="I37" s="251">
        <f>(118+119)/2</f>
        <v>118.5</v>
      </c>
      <c r="J37" s="247">
        <v>197</v>
      </c>
      <c r="K37" s="250">
        <f>(48.76+48.4)/2</f>
        <v>48.58</v>
      </c>
      <c r="L37" s="249">
        <f t="shared" si="1"/>
        <v>1.8860699199999997</v>
      </c>
      <c r="M37" s="251">
        <v>100</v>
      </c>
      <c r="N37" s="247">
        <v>5</v>
      </c>
      <c r="O37" s="250">
        <f>(4.9+5)/2</f>
        <v>4.95</v>
      </c>
      <c r="P37" s="250">
        <f>(68.41+68.49)/2</f>
        <v>68.449999999999989</v>
      </c>
      <c r="Q37" s="251">
        <f t="shared" ref="Q37:Q58" si="2">(E37+F37+N37)</f>
        <v>22</v>
      </c>
    </row>
    <row r="38" spans="1:17" s="83" customFormat="1" ht="12.75" customHeight="1" x14ac:dyDescent="0.2">
      <c r="A38" s="254"/>
      <c r="B38" s="262" t="s">
        <v>300</v>
      </c>
      <c r="C38" s="249">
        <f>(C36+C37)/2</f>
        <v>4.5324999999999998</v>
      </c>
      <c r="D38" s="251">
        <f>(D36+D37)/2</f>
        <v>100</v>
      </c>
      <c r="E38" s="247">
        <v>10</v>
      </c>
      <c r="F38" s="251">
        <f>(F36+F37)/2</f>
        <v>7.5</v>
      </c>
      <c r="G38" s="251">
        <f>(G36+G37)/2</f>
        <v>81.25</v>
      </c>
      <c r="H38" s="251">
        <f t="shared" ref="H38:J38" si="3">(H36+H37)/2</f>
        <v>9</v>
      </c>
      <c r="I38" s="251">
        <f>(I36+I37)/2</f>
        <v>116</v>
      </c>
      <c r="J38" s="251">
        <f t="shared" si="3"/>
        <v>197</v>
      </c>
      <c r="K38" s="250">
        <f>(K36+K37)/2</f>
        <v>49.337499999999999</v>
      </c>
      <c r="L38" s="249">
        <f t="shared" ref="L38:P38" si="4">(L36+L37)/2</f>
        <v>2.0595022249999997</v>
      </c>
      <c r="M38" s="251">
        <f t="shared" si="4"/>
        <v>100</v>
      </c>
      <c r="N38" s="251">
        <v>5</v>
      </c>
      <c r="O38" s="250">
        <f>(O36+O37)/2</f>
        <v>5</v>
      </c>
      <c r="P38" s="250">
        <f t="shared" si="4"/>
        <v>68.797499999999999</v>
      </c>
      <c r="Q38" s="251">
        <f t="shared" si="2"/>
        <v>22.5</v>
      </c>
    </row>
    <row r="39" spans="1:17" s="83" customFormat="1" ht="12.75" customHeight="1" x14ac:dyDescent="0.2">
      <c r="A39" s="56">
        <v>3</v>
      </c>
      <c r="B39" s="169" t="s">
        <v>191</v>
      </c>
      <c r="C39" s="44">
        <v>5.0199999999999996</v>
      </c>
      <c r="D39" s="42">
        <f>(C39*100)/C$38</f>
        <v>110.75565361279646</v>
      </c>
      <c r="E39" s="41">
        <v>12</v>
      </c>
      <c r="F39" s="295">
        <v>7</v>
      </c>
      <c r="G39" s="186">
        <v>74</v>
      </c>
      <c r="H39" s="58">
        <v>8</v>
      </c>
      <c r="I39" s="295">
        <v>111</v>
      </c>
      <c r="J39" s="41">
        <v>197</v>
      </c>
      <c r="K39" s="187">
        <v>47.54</v>
      </c>
      <c r="L39" s="188">
        <f t="shared" si="1"/>
        <v>2.1955873599999993</v>
      </c>
      <c r="M39" s="42">
        <f>(L39*100)/L$38</f>
        <v>106.60767118132148</v>
      </c>
      <c r="N39" s="41">
        <v>6</v>
      </c>
      <c r="O39" s="45">
        <v>5.3</v>
      </c>
      <c r="P39" s="187">
        <v>69.63</v>
      </c>
      <c r="Q39" s="48">
        <f>(E39+F39+N39)</f>
        <v>25</v>
      </c>
    </row>
    <row r="40" spans="1:17" s="83" customFormat="1" ht="12.75" customHeight="1" x14ac:dyDescent="0.2">
      <c r="A40" s="56">
        <v>4</v>
      </c>
      <c r="B40" s="169" t="s">
        <v>192</v>
      </c>
      <c r="C40" s="44">
        <v>4.6100000000000003</v>
      </c>
      <c r="D40" s="186">
        <f t="shared" ref="D40:D58" si="5">(C40*100)/C$38</f>
        <v>101.70987313844458</v>
      </c>
      <c r="E40" s="41">
        <v>10</v>
      </c>
      <c r="F40" s="295">
        <v>8</v>
      </c>
      <c r="G40" s="186">
        <v>82</v>
      </c>
      <c r="H40" s="58">
        <v>9</v>
      </c>
      <c r="I40" s="295">
        <v>120</v>
      </c>
      <c r="J40" s="295">
        <v>197</v>
      </c>
      <c r="K40" s="187">
        <v>49.83</v>
      </c>
      <c r="L40" s="188">
        <f t="shared" si="1"/>
        <v>2.1133899600000001</v>
      </c>
      <c r="M40" s="186">
        <f t="shared" ref="M40:M58" si="6">(L40*100)/L$38</f>
        <v>102.61654172284278</v>
      </c>
      <c r="N40" s="41">
        <v>5</v>
      </c>
      <c r="O40" s="45">
        <v>4.5</v>
      </c>
      <c r="P40" s="187">
        <v>66.900000000000006</v>
      </c>
      <c r="Q40" s="189">
        <f t="shared" si="2"/>
        <v>23</v>
      </c>
    </row>
    <row r="41" spans="1:17" s="83" customFormat="1" ht="12.75" customHeight="1" x14ac:dyDescent="0.2">
      <c r="A41" s="56">
        <v>5</v>
      </c>
      <c r="B41" s="169" t="s">
        <v>193</v>
      </c>
      <c r="C41" s="44">
        <v>3.84</v>
      </c>
      <c r="D41" s="186">
        <f t="shared" si="5"/>
        <v>84.721456150027578</v>
      </c>
      <c r="E41" s="41">
        <v>6</v>
      </c>
      <c r="F41" s="295">
        <v>7</v>
      </c>
      <c r="G41" s="186">
        <v>77</v>
      </c>
      <c r="H41" s="58">
        <v>9</v>
      </c>
      <c r="I41" s="295">
        <v>123</v>
      </c>
      <c r="J41" s="295">
        <v>197</v>
      </c>
      <c r="K41" s="187">
        <v>50.31</v>
      </c>
      <c r="L41" s="188">
        <f t="shared" si="1"/>
        <v>1.7773516800000002</v>
      </c>
      <c r="M41" s="186">
        <f t="shared" si="6"/>
        <v>86.300061171334761</v>
      </c>
      <c r="N41" s="41">
        <v>4</v>
      </c>
      <c r="O41" s="45">
        <v>4.3</v>
      </c>
      <c r="P41" s="187">
        <v>67.08</v>
      </c>
      <c r="Q41" s="189">
        <f t="shared" si="2"/>
        <v>17</v>
      </c>
    </row>
    <row r="42" spans="1:17" s="83" customFormat="1" ht="12.75" customHeight="1" x14ac:dyDescent="0.2">
      <c r="A42" s="56">
        <v>6</v>
      </c>
      <c r="B42" s="169" t="s">
        <v>474</v>
      </c>
      <c r="C42" s="44">
        <v>4.93</v>
      </c>
      <c r="D42" s="186">
        <f t="shared" si="5"/>
        <v>108.7699944842802</v>
      </c>
      <c r="E42" s="41">
        <v>12</v>
      </c>
      <c r="F42" s="295">
        <v>8</v>
      </c>
      <c r="G42" s="186">
        <v>87</v>
      </c>
      <c r="H42" s="58">
        <v>9</v>
      </c>
      <c r="I42" s="295">
        <v>118</v>
      </c>
      <c r="J42" s="295">
        <v>197</v>
      </c>
      <c r="K42" s="187">
        <v>49.39</v>
      </c>
      <c r="L42" s="188">
        <f t="shared" si="1"/>
        <v>2.2401328399999998</v>
      </c>
      <c r="M42" s="186">
        <f t="shared" si="6"/>
        <v>108.77059576859646</v>
      </c>
      <c r="N42" s="41">
        <v>6</v>
      </c>
      <c r="O42" s="45">
        <v>4.4000000000000004</v>
      </c>
      <c r="P42" s="187">
        <v>67.650000000000006</v>
      </c>
      <c r="Q42" s="189">
        <f t="shared" si="2"/>
        <v>26</v>
      </c>
    </row>
    <row r="43" spans="1:17" s="83" customFormat="1" ht="12.75" customHeight="1" x14ac:dyDescent="0.2">
      <c r="A43" s="56">
        <v>7</v>
      </c>
      <c r="B43" s="169" t="s">
        <v>475</v>
      </c>
      <c r="C43" s="44">
        <v>5.3</v>
      </c>
      <c r="D43" s="186">
        <f t="shared" si="5"/>
        <v>116.93325979040266</v>
      </c>
      <c r="E43" s="41">
        <v>14</v>
      </c>
      <c r="F43" s="295">
        <v>7</v>
      </c>
      <c r="G43" s="186">
        <v>75</v>
      </c>
      <c r="H43" s="58">
        <v>9</v>
      </c>
      <c r="I43" s="295">
        <v>122</v>
      </c>
      <c r="J43" s="295">
        <v>197</v>
      </c>
      <c r="K43" s="187">
        <v>50.15</v>
      </c>
      <c r="L43" s="188">
        <f t="shared" si="1"/>
        <v>2.4453139999999998</v>
      </c>
      <c r="M43" s="186">
        <f t="shared" si="6"/>
        <v>118.73325361423196</v>
      </c>
      <c r="N43" s="41">
        <v>7</v>
      </c>
      <c r="O43" s="45">
        <v>5.0999999999999996</v>
      </c>
      <c r="P43" s="187">
        <v>68.69</v>
      </c>
      <c r="Q43" s="189">
        <f t="shared" si="2"/>
        <v>28</v>
      </c>
    </row>
    <row r="44" spans="1:17" s="83" customFormat="1" ht="12.75" customHeight="1" x14ac:dyDescent="0.2">
      <c r="A44" s="56">
        <v>8</v>
      </c>
      <c r="B44" s="169" t="s">
        <v>476</v>
      </c>
      <c r="C44" s="44">
        <v>5.36</v>
      </c>
      <c r="D44" s="186">
        <f t="shared" si="5"/>
        <v>118.25703254274684</v>
      </c>
      <c r="E44" s="41">
        <v>14</v>
      </c>
      <c r="F44" s="295">
        <v>8</v>
      </c>
      <c r="G44" s="186">
        <v>85</v>
      </c>
      <c r="H44" s="58">
        <v>9</v>
      </c>
      <c r="I44" s="295">
        <v>114</v>
      </c>
      <c r="J44" s="295">
        <v>197</v>
      </c>
      <c r="K44" s="187">
        <v>48.22</v>
      </c>
      <c r="L44" s="188">
        <f t="shared" si="1"/>
        <v>2.37782464</v>
      </c>
      <c r="M44" s="186">
        <f t="shared" si="6"/>
        <v>115.45627924728269</v>
      </c>
      <c r="N44" s="41">
        <v>6</v>
      </c>
      <c r="O44" s="45">
        <v>4.2</v>
      </c>
      <c r="P44" s="187">
        <v>68.44</v>
      </c>
      <c r="Q44" s="189">
        <f t="shared" si="2"/>
        <v>28</v>
      </c>
    </row>
    <row r="45" spans="1:17" s="83" customFormat="1" ht="12.75" customHeight="1" x14ac:dyDescent="0.2">
      <c r="A45" s="56">
        <v>9</v>
      </c>
      <c r="B45" s="169" t="s">
        <v>477</v>
      </c>
      <c r="C45" s="44">
        <v>5.03</v>
      </c>
      <c r="D45" s="186">
        <f t="shared" si="5"/>
        <v>110.97628240485383</v>
      </c>
      <c r="E45" s="41">
        <v>12</v>
      </c>
      <c r="F45" s="295">
        <v>8</v>
      </c>
      <c r="G45" s="186">
        <v>89</v>
      </c>
      <c r="H45" s="58">
        <v>9</v>
      </c>
      <c r="I45" s="295">
        <v>117</v>
      </c>
      <c r="J45" s="295">
        <v>197</v>
      </c>
      <c r="K45" s="187">
        <v>46.75</v>
      </c>
      <c r="L45" s="188">
        <f t="shared" si="1"/>
        <v>2.1634030000000002</v>
      </c>
      <c r="M45" s="186">
        <f t="shared" si="6"/>
        <v>105.04494599417102</v>
      </c>
      <c r="N45" s="41">
        <v>5</v>
      </c>
      <c r="O45" s="45">
        <v>5.3</v>
      </c>
      <c r="P45" s="187">
        <v>68.52</v>
      </c>
      <c r="Q45" s="189">
        <f t="shared" si="2"/>
        <v>25</v>
      </c>
    </row>
    <row r="46" spans="1:17" s="83" customFormat="1" ht="12.75" customHeight="1" x14ac:dyDescent="0.2">
      <c r="A46" s="56">
        <v>10</v>
      </c>
      <c r="B46" s="169" t="s">
        <v>478</v>
      </c>
      <c r="C46" s="44">
        <v>4.9000000000000004</v>
      </c>
      <c r="D46" s="186">
        <f t="shared" si="5"/>
        <v>108.10810810810813</v>
      </c>
      <c r="E46" s="41">
        <v>12</v>
      </c>
      <c r="F46" s="295">
        <v>8</v>
      </c>
      <c r="G46" s="186">
        <v>83</v>
      </c>
      <c r="H46" s="58">
        <v>9</v>
      </c>
      <c r="I46" s="295">
        <v>119</v>
      </c>
      <c r="J46" s="295">
        <v>197</v>
      </c>
      <c r="K46" s="187">
        <v>48.77</v>
      </c>
      <c r="L46" s="188">
        <f t="shared" si="1"/>
        <v>2.1985516000000001</v>
      </c>
      <c r="M46" s="186">
        <f t="shared" si="6"/>
        <v>106.75160110594202</v>
      </c>
      <c r="N46" s="41">
        <v>6</v>
      </c>
      <c r="O46" s="45">
        <v>4.7</v>
      </c>
      <c r="P46" s="187">
        <v>69.150000000000006</v>
      </c>
      <c r="Q46" s="189">
        <f t="shared" si="2"/>
        <v>26</v>
      </c>
    </row>
    <row r="47" spans="1:17" s="83" customFormat="1" ht="12.75" customHeight="1" x14ac:dyDescent="0.2">
      <c r="A47" s="56">
        <v>11</v>
      </c>
      <c r="B47" s="170" t="s">
        <v>479</v>
      </c>
      <c r="C47" s="44">
        <v>4.7699999999999996</v>
      </c>
      <c r="D47" s="186">
        <f t="shared" si="5"/>
        <v>105.23993381136238</v>
      </c>
      <c r="E47" s="41">
        <v>10</v>
      </c>
      <c r="F47" s="295">
        <v>8</v>
      </c>
      <c r="G47" s="186">
        <v>81</v>
      </c>
      <c r="H47" s="58">
        <v>9</v>
      </c>
      <c r="I47" s="295">
        <v>116</v>
      </c>
      <c r="J47" s="295">
        <v>197</v>
      </c>
      <c r="K47" s="187">
        <v>48.4</v>
      </c>
      <c r="L47" s="188">
        <f t="shared" si="1"/>
        <v>2.1239855999999997</v>
      </c>
      <c r="M47" s="186">
        <f t="shared" si="6"/>
        <v>103.13101749623019</v>
      </c>
      <c r="N47" s="41">
        <v>5</v>
      </c>
      <c r="O47" s="45">
        <v>4.8</v>
      </c>
      <c r="P47" s="187">
        <v>68.72</v>
      </c>
      <c r="Q47" s="189">
        <f t="shared" si="2"/>
        <v>23</v>
      </c>
    </row>
    <row r="48" spans="1:17" s="83" customFormat="1" ht="12.75" customHeight="1" x14ac:dyDescent="0.2">
      <c r="A48" s="56">
        <v>12</v>
      </c>
      <c r="B48" s="170" t="s">
        <v>480</v>
      </c>
      <c r="C48" s="44">
        <v>4.9400000000000004</v>
      </c>
      <c r="D48" s="186">
        <f t="shared" si="5"/>
        <v>108.99062327633759</v>
      </c>
      <c r="E48" s="41">
        <v>12</v>
      </c>
      <c r="F48" s="295">
        <v>8</v>
      </c>
      <c r="G48" s="186">
        <v>83</v>
      </c>
      <c r="H48" s="58">
        <v>9</v>
      </c>
      <c r="I48" s="295">
        <v>124</v>
      </c>
      <c r="J48" s="295">
        <v>197</v>
      </c>
      <c r="K48" s="187">
        <v>48.53</v>
      </c>
      <c r="L48" s="188">
        <f t="shared" si="1"/>
        <v>2.2055914400000005</v>
      </c>
      <c r="M48" s="186">
        <f t="shared" si="6"/>
        <v>107.09342350916863</v>
      </c>
      <c r="N48" s="41">
        <v>6</v>
      </c>
      <c r="O48" s="45">
        <v>4.9000000000000004</v>
      </c>
      <c r="P48" s="187">
        <v>69.48</v>
      </c>
      <c r="Q48" s="189">
        <f t="shared" si="2"/>
        <v>26</v>
      </c>
    </row>
    <row r="49" spans="1:18" s="83" customFormat="1" ht="12.75" customHeight="1" x14ac:dyDescent="0.2">
      <c r="A49" s="56">
        <v>13</v>
      </c>
      <c r="B49" s="170" t="s">
        <v>195</v>
      </c>
      <c r="C49" s="44">
        <v>6.11</v>
      </c>
      <c r="D49" s="186">
        <f t="shared" si="5"/>
        <v>134.80419194704911</v>
      </c>
      <c r="E49" s="41">
        <v>16</v>
      </c>
      <c r="F49" s="295">
        <v>8</v>
      </c>
      <c r="G49" s="186">
        <v>84</v>
      </c>
      <c r="H49" s="58">
        <v>9</v>
      </c>
      <c r="I49" s="295">
        <v>125</v>
      </c>
      <c r="J49" s="295">
        <v>197</v>
      </c>
      <c r="K49" s="187">
        <v>48.46</v>
      </c>
      <c r="L49" s="188">
        <f t="shared" si="1"/>
        <v>2.7240335199999999</v>
      </c>
      <c r="M49" s="186">
        <f t="shared" si="6"/>
        <v>132.26659757553796</v>
      </c>
      <c r="N49" s="41">
        <v>8</v>
      </c>
      <c r="O49" s="45">
        <v>4.9000000000000004</v>
      </c>
      <c r="P49" s="187">
        <v>69.430000000000007</v>
      </c>
      <c r="Q49" s="189">
        <f t="shared" si="2"/>
        <v>32</v>
      </c>
    </row>
    <row r="50" spans="1:18" s="83" customFormat="1" ht="12.75" customHeight="1" x14ac:dyDescent="0.2">
      <c r="A50" s="56">
        <v>14</v>
      </c>
      <c r="B50" s="170" t="s">
        <v>481</v>
      </c>
      <c r="C50" s="44">
        <v>5.39</v>
      </c>
      <c r="D50" s="186">
        <f t="shared" si="5"/>
        <v>118.91891891891892</v>
      </c>
      <c r="E50" s="41">
        <v>14</v>
      </c>
      <c r="F50" s="295">
        <v>8</v>
      </c>
      <c r="G50" s="186">
        <v>89</v>
      </c>
      <c r="H50" s="58">
        <v>9</v>
      </c>
      <c r="I50" s="295">
        <v>116</v>
      </c>
      <c r="J50" s="295">
        <v>197</v>
      </c>
      <c r="K50" s="187">
        <v>47.95</v>
      </c>
      <c r="L50" s="188">
        <f t="shared" si="1"/>
        <v>2.3777446000000002</v>
      </c>
      <c r="M50" s="186">
        <f t="shared" si="6"/>
        <v>115.45239287129203</v>
      </c>
      <c r="N50" s="41">
        <v>6</v>
      </c>
      <c r="O50" s="45">
        <v>4.7</v>
      </c>
      <c r="P50" s="187">
        <v>68.739999999999995</v>
      </c>
      <c r="Q50" s="189">
        <f t="shared" si="2"/>
        <v>28</v>
      </c>
    </row>
    <row r="51" spans="1:18" s="83" customFormat="1" ht="12.75" customHeight="1" x14ac:dyDescent="0.2">
      <c r="A51" s="56">
        <v>15</v>
      </c>
      <c r="B51" s="170" t="s">
        <v>194</v>
      </c>
      <c r="C51" s="44">
        <v>4.99</v>
      </c>
      <c r="D51" s="186">
        <f t="shared" si="5"/>
        <v>110.09376723662439</v>
      </c>
      <c r="E51" s="295">
        <v>12</v>
      </c>
      <c r="F51" s="295">
        <v>7</v>
      </c>
      <c r="G51" s="186">
        <v>79</v>
      </c>
      <c r="H51" s="193">
        <v>9</v>
      </c>
      <c r="I51" s="295">
        <v>113</v>
      </c>
      <c r="J51" s="295">
        <v>197</v>
      </c>
      <c r="K51" s="187">
        <v>48.79</v>
      </c>
      <c r="L51" s="188">
        <f t="shared" si="1"/>
        <v>2.2398513200000001</v>
      </c>
      <c r="M51" s="186">
        <f t="shared" si="6"/>
        <v>108.75692644614649</v>
      </c>
      <c r="N51" s="295">
        <v>6</v>
      </c>
      <c r="O51" s="187">
        <v>5.0999999999999996</v>
      </c>
      <c r="P51" s="187">
        <v>67.790000000000006</v>
      </c>
      <c r="Q51" s="189">
        <f t="shared" si="2"/>
        <v>25</v>
      </c>
    </row>
    <row r="52" spans="1:18" s="83" customFormat="1" ht="12.75" customHeight="1" x14ac:dyDescent="0.2">
      <c r="A52" s="56">
        <v>16</v>
      </c>
      <c r="B52" s="171" t="s">
        <v>482</v>
      </c>
      <c r="C52" s="44">
        <v>6.07</v>
      </c>
      <c r="D52" s="186">
        <f t="shared" si="5"/>
        <v>133.92167677881963</v>
      </c>
      <c r="E52" s="295">
        <v>16</v>
      </c>
      <c r="F52" s="295">
        <v>8</v>
      </c>
      <c r="G52" s="186">
        <v>85</v>
      </c>
      <c r="H52" s="193">
        <v>9</v>
      </c>
      <c r="I52" s="295">
        <v>123</v>
      </c>
      <c r="J52" s="295">
        <v>197</v>
      </c>
      <c r="K52" s="187">
        <v>50.66</v>
      </c>
      <c r="L52" s="188">
        <f t="shared" si="1"/>
        <v>2.8290570400000004</v>
      </c>
      <c r="M52" s="186">
        <f t="shared" si="6"/>
        <v>137.366058927176</v>
      </c>
      <c r="N52" s="295">
        <v>9</v>
      </c>
      <c r="O52" s="187">
        <v>4.5999999999999996</v>
      </c>
      <c r="P52" s="187">
        <v>69.45</v>
      </c>
      <c r="Q52" s="189">
        <f t="shared" si="2"/>
        <v>33</v>
      </c>
    </row>
    <row r="53" spans="1:18" s="83" customFormat="1" ht="12.75" customHeight="1" x14ac:dyDescent="0.2">
      <c r="A53" s="56">
        <v>17</v>
      </c>
      <c r="B53" s="171" t="s">
        <v>483</v>
      </c>
      <c r="C53" s="44">
        <v>4.88</v>
      </c>
      <c r="D53" s="186">
        <f t="shared" si="5"/>
        <v>107.66685052399339</v>
      </c>
      <c r="E53" s="295">
        <v>12</v>
      </c>
      <c r="F53" s="295">
        <v>9</v>
      </c>
      <c r="G53" s="186">
        <v>92</v>
      </c>
      <c r="H53" s="193">
        <v>9</v>
      </c>
      <c r="I53" s="295">
        <v>120</v>
      </c>
      <c r="J53" s="295">
        <v>197</v>
      </c>
      <c r="K53" s="187">
        <v>49.25</v>
      </c>
      <c r="L53" s="188">
        <f>(((C53*92)/100)*K53)/100</f>
        <v>2.2111279999999995</v>
      </c>
      <c r="M53" s="186">
        <f t="shared" si="6"/>
        <v>107.36225351735175</v>
      </c>
      <c r="N53" s="295">
        <v>6</v>
      </c>
      <c r="O53" s="187">
        <v>4.5</v>
      </c>
      <c r="P53" s="187">
        <v>69.180000000000007</v>
      </c>
      <c r="Q53" s="189">
        <f t="shared" si="2"/>
        <v>27</v>
      </c>
    </row>
    <row r="54" spans="1:18" s="83" customFormat="1" ht="12.75" customHeight="1" x14ac:dyDescent="0.2">
      <c r="A54" s="56">
        <v>18</v>
      </c>
      <c r="B54" s="171" t="s">
        <v>51</v>
      </c>
      <c r="C54" s="44">
        <v>5.04</v>
      </c>
      <c r="D54" s="186">
        <f t="shared" si="5"/>
        <v>111.1969111969112</v>
      </c>
      <c r="E54" s="41">
        <v>12</v>
      </c>
      <c r="F54" s="295">
        <v>8</v>
      </c>
      <c r="G54" s="186">
        <v>87</v>
      </c>
      <c r="H54" s="58">
        <v>9</v>
      </c>
      <c r="I54" s="295">
        <v>111</v>
      </c>
      <c r="J54" s="295">
        <v>197</v>
      </c>
      <c r="K54" s="187">
        <v>49.7</v>
      </c>
      <c r="L54" s="188">
        <f t="shared" si="1"/>
        <v>2.3044896000000001</v>
      </c>
      <c r="M54" s="186">
        <f t="shared" si="6"/>
        <v>111.8954654200483</v>
      </c>
      <c r="N54" s="41">
        <v>6</v>
      </c>
      <c r="O54" s="45">
        <v>4</v>
      </c>
      <c r="P54" s="187">
        <v>67.709999999999994</v>
      </c>
      <c r="Q54" s="189">
        <f t="shared" si="2"/>
        <v>26</v>
      </c>
    </row>
    <row r="55" spans="1:18" s="83" customFormat="1" ht="12.75" customHeight="1" x14ac:dyDescent="0.2">
      <c r="A55" s="56">
        <v>19</v>
      </c>
      <c r="B55" s="171" t="s">
        <v>484</v>
      </c>
      <c r="C55" s="44">
        <v>4.7</v>
      </c>
      <c r="D55" s="186">
        <f t="shared" si="5"/>
        <v>103.69553226696084</v>
      </c>
      <c r="E55" s="41">
        <v>10</v>
      </c>
      <c r="F55" s="295">
        <v>8</v>
      </c>
      <c r="G55" s="186">
        <v>86</v>
      </c>
      <c r="H55" s="41">
        <v>9</v>
      </c>
      <c r="I55" s="295">
        <v>101</v>
      </c>
      <c r="J55" s="295">
        <v>197</v>
      </c>
      <c r="K55" s="187">
        <v>48.17</v>
      </c>
      <c r="L55" s="188">
        <f t="shared" si="1"/>
        <v>2.0828708000000002</v>
      </c>
      <c r="M55" s="186">
        <f t="shared" si="6"/>
        <v>101.13467102469387</v>
      </c>
      <c r="N55" s="41">
        <v>5</v>
      </c>
      <c r="O55" s="45">
        <v>4.4000000000000004</v>
      </c>
      <c r="P55" s="187">
        <v>68.930000000000007</v>
      </c>
      <c r="Q55" s="189">
        <f t="shared" si="2"/>
        <v>23</v>
      </c>
    </row>
    <row r="56" spans="1:18" s="198" customFormat="1" ht="12.75" customHeight="1" x14ac:dyDescent="0.2">
      <c r="A56" s="179">
        <v>20</v>
      </c>
      <c r="B56" s="171" t="s">
        <v>196</v>
      </c>
      <c r="C56" s="188">
        <v>3.86</v>
      </c>
      <c r="D56" s="186">
        <f t="shared" si="5"/>
        <v>85.162713734142315</v>
      </c>
      <c r="E56" s="190">
        <v>6</v>
      </c>
      <c r="F56" s="190">
        <v>7</v>
      </c>
      <c r="G56" s="189">
        <v>77</v>
      </c>
      <c r="H56" s="190">
        <v>9</v>
      </c>
      <c r="I56" s="190">
        <v>106</v>
      </c>
      <c r="J56" s="295">
        <v>197</v>
      </c>
      <c r="K56" s="191">
        <v>47.96</v>
      </c>
      <c r="L56" s="188">
        <f t="shared" si="1"/>
        <v>1.7031555199999999</v>
      </c>
      <c r="M56" s="186">
        <f t="shared" si="6"/>
        <v>82.697435298959206</v>
      </c>
      <c r="N56" s="190">
        <v>3</v>
      </c>
      <c r="O56" s="191">
        <v>4.8</v>
      </c>
      <c r="P56" s="191">
        <v>68.930000000000007</v>
      </c>
      <c r="Q56" s="189">
        <f t="shared" si="2"/>
        <v>16</v>
      </c>
      <c r="R56" s="198" t="s">
        <v>197</v>
      </c>
    </row>
    <row r="57" spans="1:18" s="83" customFormat="1" ht="12.75" customHeight="1" x14ac:dyDescent="0.2">
      <c r="A57" s="56">
        <v>21</v>
      </c>
      <c r="B57" s="170" t="s">
        <v>485</v>
      </c>
      <c r="C57" s="44">
        <v>5.15</v>
      </c>
      <c r="D57" s="186">
        <f t="shared" si="5"/>
        <v>113.6238279095422</v>
      </c>
      <c r="E57" s="41">
        <v>12</v>
      </c>
      <c r="F57" s="295">
        <v>8</v>
      </c>
      <c r="G57" s="186">
        <v>81</v>
      </c>
      <c r="H57" s="41">
        <v>9</v>
      </c>
      <c r="I57" s="295">
        <v>105</v>
      </c>
      <c r="J57" s="295">
        <v>197</v>
      </c>
      <c r="K57" s="187">
        <v>48.39</v>
      </c>
      <c r="L57" s="188">
        <f t="shared" si="1"/>
        <v>2.2927182000000004</v>
      </c>
      <c r="M57" s="186">
        <f t="shared" si="6"/>
        <v>111.32390012348741</v>
      </c>
      <c r="N57" s="41">
        <v>6</v>
      </c>
      <c r="O57" s="45">
        <v>5.2</v>
      </c>
      <c r="P57" s="187">
        <v>68.41</v>
      </c>
      <c r="Q57" s="189">
        <f t="shared" si="2"/>
        <v>26</v>
      </c>
    </row>
    <row r="58" spans="1:18" s="83" customFormat="1" ht="12.75" customHeight="1" x14ac:dyDescent="0.2">
      <c r="A58" s="56">
        <v>22</v>
      </c>
      <c r="B58" s="171" t="s">
        <v>486</v>
      </c>
      <c r="C58" s="44">
        <v>4.71</v>
      </c>
      <c r="D58" s="186">
        <f t="shared" si="5"/>
        <v>103.91616105901821</v>
      </c>
      <c r="E58" s="41">
        <v>10</v>
      </c>
      <c r="F58" s="295">
        <v>8</v>
      </c>
      <c r="G58" s="186">
        <v>89</v>
      </c>
      <c r="H58" s="41">
        <v>9</v>
      </c>
      <c r="I58" s="295">
        <v>103</v>
      </c>
      <c r="J58" s="295">
        <v>197</v>
      </c>
      <c r="K58" s="187">
        <v>47.86</v>
      </c>
      <c r="L58" s="188">
        <f t="shared" si="1"/>
        <v>2.0738695199999997</v>
      </c>
      <c r="M58" s="186">
        <f t="shared" si="6"/>
        <v>100.69761007420131</v>
      </c>
      <c r="N58" s="41">
        <v>5</v>
      </c>
      <c r="O58" s="45">
        <v>4.8</v>
      </c>
      <c r="P58" s="187">
        <v>69.58</v>
      </c>
      <c r="Q58" s="189">
        <f t="shared" si="2"/>
        <v>23</v>
      </c>
    </row>
    <row r="59" spans="1:18" s="83" customFormat="1" ht="12.75" customHeight="1" x14ac:dyDescent="0.2"/>
    <row r="60" spans="1:18" s="83" customFormat="1" ht="12.75" customHeight="1" x14ac:dyDescent="0.2">
      <c r="A60" s="328" t="s">
        <v>295</v>
      </c>
    </row>
    <row r="61" spans="1:18" s="83" customFormat="1" ht="12.75" customHeight="1" x14ac:dyDescent="0.2">
      <c r="A61" s="254">
        <v>1</v>
      </c>
      <c r="B61" s="254" t="s">
        <v>50</v>
      </c>
      <c r="C61" s="249">
        <f>(2.22+2.86)/2</f>
        <v>2.54</v>
      </c>
      <c r="D61" s="247">
        <v>100</v>
      </c>
      <c r="E61" s="247">
        <v>10</v>
      </c>
      <c r="F61" s="251">
        <f>(9+9)/2</f>
        <v>9</v>
      </c>
      <c r="G61" s="251">
        <f>(92+93)/2</f>
        <v>92.5</v>
      </c>
      <c r="H61" s="247">
        <v>9</v>
      </c>
      <c r="I61" s="251">
        <f>(106+107)/2</f>
        <v>106.5</v>
      </c>
      <c r="J61" s="247">
        <v>201</v>
      </c>
      <c r="K61" s="250">
        <f>(46.48+46.68)/2</f>
        <v>46.58</v>
      </c>
      <c r="L61" s="249">
        <f>(((C61*92)/100)*K61)/100</f>
        <v>1.08848144</v>
      </c>
      <c r="M61" s="247">
        <v>100</v>
      </c>
      <c r="N61" s="247">
        <v>5</v>
      </c>
      <c r="O61" s="250">
        <f>(3.21+3.15)/2</f>
        <v>3.1799999999999997</v>
      </c>
      <c r="P61" s="250">
        <f>(69.48+68.16)/2</f>
        <v>68.819999999999993</v>
      </c>
      <c r="Q61" s="251">
        <f>(E61+F61+N61)</f>
        <v>24</v>
      </c>
    </row>
    <row r="62" spans="1:18" s="83" customFormat="1" ht="12.75" customHeight="1" x14ac:dyDescent="0.2">
      <c r="A62" s="254">
        <v>2</v>
      </c>
      <c r="B62" s="262" t="s">
        <v>473</v>
      </c>
      <c r="C62" s="249">
        <f>(3.29+2.69)/2</f>
        <v>2.99</v>
      </c>
      <c r="D62" s="251">
        <v>100</v>
      </c>
      <c r="E62" s="247">
        <v>10</v>
      </c>
      <c r="F62" s="247">
        <f>(9+9)/2</f>
        <v>9</v>
      </c>
      <c r="G62" s="251">
        <f>(92+92)/2</f>
        <v>92</v>
      </c>
      <c r="H62" s="247">
        <v>9</v>
      </c>
      <c r="I62" s="247">
        <f>(111+113)/2</f>
        <v>112</v>
      </c>
      <c r="J62" s="247">
        <v>201</v>
      </c>
      <c r="K62" s="250">
        <f>(47.04+46.94)/2</f>
        <v>46.989999999999995</v>
      </c>
      <c r="L62" s="249">
        <f t="shared" ref="L62:L83" si="7">(((C62*92)/100)*K62)/100</f>
        <v>1.2926009200000002</v>
      </c>
      <c r="M62" s="251">
        <v>100</v>
      </c>
      <c r="N62" s="247">
        <v>5</v>
      </c>
      <c r="O62" s="250">
        <f>(2.95+2.95)/2</f>
        <v>2.95</v>
      </c>
      <c r="P62" s="250">
        <f>(68.24+68.16)/2</f>
        <v>68.199999999999989</v>
      </c>
      <c r="Q62" s="251">
        <f>(E62+F62+N62)</f>
        <v>24</v>
      </c>
    </row>
    <row r="63" spans="1:18" s="83" customFormat="1" ht="12.75" customHeight="1" x14ac:dyDescent="0.2">
      <c r="A63" s="254"/>
      <c r="B63" s="262" t="s">
        <v>300</v>
      </c>
      <c r="C63" s="249">
        <f>(C61+C62)/2</f>
        <v>2.7650000000000001</v>
      </c>
      <c r="D63" s="251">
        <v>100</v>
      </c>
      <c r="E63" s="247">
        <v>10</v>
      </c>
      <c r="F63" s="247">
        <f>(9+9)/2</f>
        <v>9</v>
      </c>
      <c r="G63" s="251">
        <f>(G61+G62)/2</f>
        <v>92.25</v>
      </c>
      <c r="H63" s="247">
        <f>(H61+H62)/2</f>
        <v>9</v>
      </c>
      <c r="I63" s="251">
        <f>(I61+I62)/2</f>
        <v>109.25</v>
      </c>
      <c r="J63" s="247">
        <v>201</v>
      </c>
      <c r="K63" s="250">
        <f>(K61+K62)/2</f>
        <v>46.784999999999997</v>
      </c>
      <c r="L63" s="249">
        <f>(((C63*92)/100)*K63)/100</f>
        <v>1.19011683</v>
      </c>
      <c r="M63" s="251">
        <v>100</v>
      </c>
      <c r="N63" s="247">
        <v>5</v>
      </c>
      <c r="O63" s="250">
        <f>(O61+O62)/2</f>
        <v>3.0649999999999999</v>
      </c>
      <c r="P63" s="250">
        <f>(P61+P62)/2</f>
        <v>68.509999999999991</v>
      </c>
      <c r="Q63" s="251">
        <f>(E63+F63+N63)</f>
        <v>24</v>
      </c>
    </row>
    <row r="64" spans="1:18" s="83" customFormat="1" ht="12.75" customHeight="1" x14ac:dyDescent="0.2">
      <c r="A64" s="56">
        <v>3</v>
      </c>
      <c r="B64" s="169" t="s">
        <v>191</v>
      </c>
      <c r="C64" s="44">
        <v>2.86</v>
      </c>
      <c r="D64" s="186">
        <f>(C64*100)/C$63</f>
        <v>103.43580470162748</v>
      </c>
      <c r="E64" s="41">
        <v>10</v>
      </c>
      <c r="F64" s="295">
        <v>9</v>
      </c>
      <c r="G64" s="186">
        <v>92</v>
      </c>
      <c r="H64" s="41">
        <v>9</v>
      </c>
      <c r="I64" s="295">
        <v>114</v>
      </c>
      <c r="J64" s="184">
        <v>201</v>
      </c>
      <c r="K64" s="187">
        <v>48.46</v>
      </c>
      <c r="L64" s="47">
        <f t="shared" si="7"/>
        <v>1.2750795200000002</v>
      </c>
      <c r="M64" s="42">
        <f>(L64*100)/L$63</f>
        <v>107.13902096485772</v>
      </c>
      <c r="N64" s="41">
        <v>6</v>
      </c>
      <c r="O64" s="45">
        <v>2.87</v>
      </c>
      <c r="P64" s="187">
        <v>69.86</v>
      </c>
      <c r="Q64" s="48">
        <f t="shared" ref="Q64:Q83" si="8">(E64+F64+N64)</f>
        <v>25</v>
      </c>
    </row>
    <row r="65" spans="1:17" s="83" customFormat="1" ht="12.75" customHeight="1" x14ac:dyDescent="0.2">
      <c r="A65" s="56">
        <v>4</v>
      </c>
      <c r="B65" s="169" t="s">
        <v>192</v>
      </c>
      <c r="C65" s="44">
        <v>2.4300000000000002</v>
      </c>
      <c r="D65" s="186">
        <f>(C65*100)/C$63</f>
        <v>87.884267631103086</v>
      </c>
      <c r="E65" s="41">
        <v>8</v>
      </c>
      <c r="F65" s="295">
        <v>8</v>
      </c>
      <c r="G65" s="186">
        <v>83</v>
      </c>
      <c r="H65" s="41">
        <v>9</v>
      </c>
      <c r="I65" s="295">
        <v>110</v>
      </c>
      <c r="J65" s="312">
        <v>201</v>
      </c>
      <c r="K65" s="187">
        <v>48.13</v>
      </c>
      <c r="L65" s="47">
        <f t="shared" si="7"/>
        <v>1.07599428</v>
      </c>
      <c r="M65" s="186">
        <f t="shared" ref="M65:M83" si="9">(L65*100)/L$63</f>
        <v>90.410811180613251</v>
      </c>
      <c r="N65" s="41">
        <v>4</v>
      </c>
      <c r="O65" s="45">
        <v>2.8</v>
      </c>
      <c r="P65" s="187">
        <v>66.790000000000006</v>
      </c>
      <c r="Q65" s="48">
        <f t="shared" si="8"/>
        <v>20</v>
      </c>
    </row>
    <row r="66" spans="1:17" s="83" customFormat="1" ht="12.75" customHeight="1" x14ac:dyDescent="0.2">
      <c r="A66" s="56">
        <v>5</v>
      </c>
      <c r="B66" s="169" t="s">
        <v>193</v>
      </c>
      <c r="C66" s="44">
        <v>2.4500000000000002</v>
      </c>
      <c r="D66" s="186">
        <f t="shared" ref="D66:D83" si="10">(C66*100)/C$63</f>
        <v>88.607594936708864</v>
      </c>
      <c r="E66" s="41">
        <v>8</v>
      </c>
      <c r="F66" s="295">
        <v>9</v>
      </c>
      <c r="G66" s="186">
        <v>94</v>
      </c>
      <c r="H66" s="41">
        <v>9</v>
      </c>
      <c r="I66" s="41">
        <v>112</v>
      </c>
      <c r="J66" s="312">
        <v>201</v>
      </c>
      <c r="K66" s="187">
        <v>48.04</v>
      </c>
      <c r="L66" s="47">
        <f t="shared" si="7"/>
        <v>1.0828215999999999</v>
      </c>
      <c r="M66" s="186">
        <f t="shared" si="9"/>
        <v>90.984479229656799</v>
      </c>
      <c r="N66" s="41">
        <v>4</v>
      </c>
      <c r="O66" s="45">
        <v>2.83</v>
      </c>
      <c r="P66" s="187">
        <v>67.400000000000006</v>
      </c>
      <c r="Q66" s="48">
        <f t="shared" si="8"/>
        <v>21</v>
      </c>
    </row>
    <row r="67" spans="1:17" s="83" customFormat="1" ht="12.75" customHeight="1" x14ac:dyDescent="0.2">
      <c r="A67" s="56">
        <v>6</v>
      </c>
      <c r="B67" s="169" t="s">
        <v>474</v>
      </c>
      <c r="C67" s="44">
        <v>2.56</v>
      </c>
      <c r="D67" s="186">
        <f t="shared" si="10"/>
        <v>92.585895117540687</v>
      </c>
      <c r="E67" s="41">
        <v>8</v>
      </c>
      <c r="F67" s="295">
        <v>9</v>
      </c>
      <c r="G67" s="186">
        <v>91</v>
      </c>
      <c r="H67" s="41">
        <v>9</v>
      </c>
      <c r="I67" s="41">
        <v>119</v>
      </c>
      <c r="J67" s="312">
        <v>201</v>
      </c>
      <c r="K67" s="187">
        <v>47.6</v>
      </c>
      <c r="L67" s="47">
        <f t="shared" si="7"/>
        <v>1.1210752000000002</v>
      </c>
      <c r="M67" s="186">
        <f t="shared" si="9"/>
        <v>94.198751899004762</v>
      </c>
      <c r="N67" s="41">
        <v>4</v>
      </c>
      <c r="O67" s="45">
        <v>2.72</v>
      </c>
      <c r="P67" s="187">
        <v>68.77</v>
      </c>
      <c r="Q67" s="48">
        <f t="shared" si="8"/>
        <v>21</v>
      </c>
    </row>
    <row r="68" spans="1:17" s="83" customFormat="1" ht="12.75" customHeight="1" x14ac:dyDescent="0.2">
      <c r="A68" s="56">
        <v>7</v>
      </c>
      <c r="B68" s="169" t="s">
        <v>475</v>
      </c>
      <c r="C68" s="44">
        <v>3.38</v>
      </c>
      <c r="D68" s="186">
        <f t="shared" si="10"/>
        <v>122.24231464737794</v>
      </c>
      <c r="E68" s="41">
        <v>14</v>
      </c>
      <c r="F68" s="295">
        <v>7</v>
      </c>
      <c r="G68" s="186">
        <v>78</v>
      </c>
      <c r="H68" s="41">
        <v>9</v>
      </c>
      <c r="I68" s="41">
        <v>119</v>
      </c>
      <c r="J68" s="312">
        <v>201</v>
      </c>
      <c r="K68" s="187">
        <v>49.45</v>
      </c>
      <c r="L68" s="47">
        <f t="shared" si="7"/>
        <v>1.5376972</v>
      </c>
      <c r="M68" s="186">
        <f t="shared" si="9"/>
        <v>129.20556715427679</v>
      </c>
      <c r="N68" s="41">
        <v>8</v>
      </c>
      <c r="O68" s="45">
        <v>2.88</v>
      </c>
      <c r="P68" s="187">
        <v>69.2</v>
      </c>
      <c r="Q68" s="48">
        <f t="shared" si="8"/>
        <v>29</v>
      </c>
    </row>
    <row r="69" spans="1:17" s="83" customFormat="1" ht="12.75" customHeight="1" x14ac:dyDescent="0.2">
      <c r="A69" s="56">
        <v>8</v>
      </c>
      <c r="B69" s="169" t="s">
        <v>476</v>
      </c>
      <c r="C69" s="44">
        <v>3.07</v>
      </c>
      <c r="D69" s="186">
        <f t="shared" si="10"/>
        <v>111.03074141048825</v>
      </c>
      <c r="E69" s="41">
        <v>12</v>
      </c>
      <c r="F69" s="295">
        <v>9</v>
      </c>
      <c r="G69" s="186">
        <v>92</v>
      </c>
      <c r="H69" s="41">
        <v>9</v>
      </c>
      <c r="I69" s="41">
        <v>119</v>
      </c>
      <c r="J69" s="312">
        <v>201</v>
      </c>
      <c r="K69" s="187">
        <v>47.6</v>
      </c>
      <c r="L69" s="47">
        <f t="shared" si="7"/>
        <v>1.3444144</v>
      </c>
      <c r="M69" s="186">
        <f t="shared" si="9"/>
        <v>112.96490950388458</v>
      </c>
      <c r="N69" s="41">
        <v>6</v>
      </c>
      <c r="O69" s="45">
        <v>2.54</v>
      </c>
      <c r="P69" s="187">
        <v>68.39</v>
      </c>
      <c r="Q69" s="48">
        <f t="shared" si="8"/>
        <v>27</v>
      </c>
    </row>
    <row r="70" spans="1:17" s="83" customFormat="1" ht="12.75" x14ac:dyDescent="0.2">
      <c r="A70" s="56">
        <v>9</v>
      </c>
      <c r="B70" s="169" t="s">
        <v>477</v>
      </c>
      <c r="C70" s="44">
        <v>1.93</v>
      </c>
      <c r="D70" s="186">
        <f t="shared" si="10"/>
        <v>69.801084990958401</v>
      </c>
      <c r="E70" s="41">
        <v>4</v>
      </c>
      <c r="F70" s="295">
        <v>9</v>
      </c>
      <c r="G70" s="186">
        <v>92</v>
      </c>
      <c r="H70" s="41">
        <v>9</v>
      </c>
      <c r="I70" s="41">
        <v>124</v>
      </c>
      <c r="J70" s="312">
        <v>201</v>
      </c>
      <c r="K70" s="187">
        <v>44.74</v>
      </c>
      <c r="L70" s="47">
        <f t="shared" si="7"/>
        <v>0.79440344000000007</v>
      </c>
      <c r="M70" s="186">
        <f t="shared" si="9"/>
        <v>66.750038313465424</v>
      </c>
      <c r="N70" s="41">
        <v>2</v>
      </c>
      <c r="O70" s="45">
        <v>3</v>
      </c>
      <c r="P70" s="187">
        <v>68.739999999999995</v>
      </c>
      <c r="Q70" s="48">
        <f t="shared" si="8"/>
        <v>15</v>
      </c>
    </row>
    <row r="71" spans="1:17" s="83" customFormat="1" ht="12.75" x14ac:dyDescent="0.2">
      <c r="A71" s="56">
        <v>10</v>
      </c>
      <c r="B71" s="169" t="s">
        <v>478</v>
      </c>
      <c r="C71" s="44">
        <v>2.81</v>
      </c>
      <c r="D71" s="186">
        <f t="shared" si="10"/>
        <v>101.62748643761302</v>
      </c>
      <c r="E71" s="41">
        <v>10</v>
      </c>
      <c r="F71" s="295">
        <v>9</v>
      </c>
      <c r="G71" s="186">
        <v>99</v>
      </c>
      <c r="H71" s="41">
        <v>9</v>
      </c>
      <c r="I71" s="41">
        <v>118</v>
      </c>
      <c r="J71" s="312">
        <v>201</v>
      </c>
      <c r="K71" s="187">
        <v>45.84</v>
      </c>
      <c r="L71" s="47">
        <f t="shared" si="7"/>
        <v>1.1850556800000001</v>
      </c>
      <c r="M71" s="186">
        <f t="shared" si="9"/>
        <v>99.574735028324909</v>
      </c>
      <c r="N71" s="41">
        <v>5</v>
      </c>
      <c r="O71" s="45">
        <v>3.2</v>
      </c>
      <c r="P71" s="187">
        <v>69</v>
      </c>
      <c r="Q71" s="48">
        <f t="shared" si="8"/>
        <v>24</v>
      </c>
    </row>
    <row r="72" spans="1:17" s="83" customFormat="1" ht="12.75" x14ac:dyDescent="0.2">
      <c r="A72" s="56">
        <v>11</v>
      </c>
      <c r="B72" s="170" t="s">
        <v>479</v>
      </c>
      <c r="C72" s="44">
        <v>3.36</v>
      </c>
      <c r="D72" s="186">
        <f t="shared" si="10"/>
        <v>121.51898734177215</v>
      </c>
      <c r="E72" s="41">
        <v>14</v>
      </c>
      <c r="F72" s="295">
        <v>9</v>
      </c>
      <c r="G72" s="186">
        <v>91</v>
      </c>
      <c r="H72" s="41">
        <v>9</v>
      </c>
      <c r="I72" s="41">
        <v>125</v>
      </c>
      <c r="J72" s="312">
        <v>201</v>
      </c>
      <c r="K72" s="187">
        <v>47.05</v>
      </c>
      <c r="L72" s="47">
        <f t="shared" si="7"/>
        <v>1.4544096</v>
      </c>
      <c r="M72" s="186">
        <f t="shared" si="9"/>
        <v>122.20729623662241</v>
      </c>
      <c r="N72" s="41">
        <v>7</v>
      </c>
      <c r="O72" s="45">
        <v>2.91</v>
      </c>
      <c r="P72" s="187">
        <v>69.03</v>
      </c>
      <c r="Q72" s="48">
        <f t="shared" si="8"/>
        <v>30</v>
      </c>
    </row>
    <row r="73" spans="1:17" s="83" customFormat="1" ht="12.75" x14ac:dyDescent="0.2">
      <c r="A73" s="56">
        <v>12</v>
      </c>
      <c r="B73" s="170" t="s">
        <v>480</v>
      </c>
      <c r="C73" s="44">
        <v>3.17</v>
      </c>
      <c r="D73" s="186">
        <f t="shared" si="10"/>
        <v>114.64737793851718</v>
      </c>
      <c r="E73" s="41">
        <v>12</v>
      </c>
      <c r="F73" s="295">
        <v>8</v>
      </c>
      <c r="G73" s="186">
        <v>90</v>
      </c>
      <c r="H73" s="41">
        <v>9</v>
      </c>
      <c r="I73" s="41">
        <v>126</v>
      </c>
      <c r="J73" s="312">
        <v>201</v>
      </c>
      <c r="K73" s="187">
        <v>47.4</v>
      </c>
      <c r="L73" s="47">
        <f t="shared" si="7"/>
        <v>1.3823736</v>
      </c>
      <c r="M73" s="186">
        <f t="shared" si="9"/>
        <v>116.15444510603214</v>
      </c>
      <c r="N73" s="41">
        <v>7</v>
      </c>
      <c r="O73" s="45">
        <v>3.17</v>
      </c>
      <c r="P73" s="187">
        <v>69.25</v>
      </c>
      <c r="Q73" s="48">
        <f t="shared" si="8"/>
        <v>27</v>
      </c>
    </row>
    <row r="74" spans="1:17" s="83" customFormat="1" ht="12.75" x14ac:dyDescent="0.2">
      <c r="A74" s="56">
        <v>13</v>
      </c>
      <c r="B74" s="170" t="s">
        <v>195</v>
      </c>
      <c r="C74" s="44">
        <v>2.71</v>
      </c>
      <c r="D74" s="186">
        <f t="shared" si="10"/>
        <v>98.010849909584081</v>
      </c>
      <c r="E74" s="41">
        <v>10</v>
      </c>
      <c r="F74" s="295">
        <v>9</v>
      </c>
      <c r="G74" s="186">
        <v>91</v>
      </c>
      <c r="H74" s="41">
        <v>9</v>
      </c>
      <c r="I74" s="41">
        <v>126</v>
      </c>
      <c r="J74" s="312">
        <v>201</v>
      </c>
      <c r="K74" s="187">
        <v>46.62</v>
      </c>
      <c r="L74" s="47">
        <f t="shared" si="7"/>
        <v>1.1623298399999999</v>
      </c>
      <c r="M74" s="186">
        <f t="shared" si="9"/>
        <v>97.665188047126421</v>
      </c>
      <c r="N74" s="41">
        <v>5</v>
      </c>
      <c r="O74" s="45">
        <v>3.04</v>
      </c>
      <c r="P74" s="187">
        <v>69.12</v>
      </c>
      <c r="Q74" s="48">
        <f t="shared" si="8"/>
        <v>24</v>
      </c>
    </row>
    <row r="75" spans="1:17" s="83" customFormat="1" ht="12.75" x14ac:dyDescent="0.2">
      <c r="A75" s="56">
        <v>14</v>
      </c>
      <c r="B75" s="170" t="s">
        <v>481</v>
      </c>
      <c r="C75" s="44">
        <v>3.1</v>
      </c>
      <c r="D75" s="186">
        <f t="shared" si="10"/>
        <v>112.11573236889691</v>
      </c>
      <c r="E75" s="297">
        <v>12</v>
      </c>
      <c r="F75" s="295">
        <v>9</v>
      </c>
      <c r="G75" s="186">
        <v>94</v>
      </c>
      <c r="H75" s="297">
        <v>9</v>
      </c>
      <c r="I75" s="297">
        <v>123</v>
      </c>
      <c r="J75" s="312">
        <v>201</v>
      </c>
      <c r="K75" s="187">
        <v>46.23</v>
      </c>
      <c r="L75" s="188">
        <f t="shared" ref="L75:L77" si="11">(((C75*92)/100)*K75)/100</f>
        <v>1.3184795999999996</v>
      </c>
      <c r="M75" s="186">
        <f t="shared" si="9"/>
        <v>110.78572849020206</v>
      </c>
      <c r="N75" s="297">
        <v>6</v>
      </c>
      <c r="O75" s="187">
        <v>3.15</v>
      </c>
      <c r="P75" s="187">
        <v>68.34</v>
      </c>
      <c r="Q75" s="189">
        <f t="shared" ref="Q75:Q77" si="12">(E75+F75+N75)</f>
        <v>27</v>
      </c>
    </row>
    <row r="76" spans="1:17" s="83" customFormat="1" ht="12.75" x14ac:dyDescent="0.2">
      <c r="A76" s="56">
        <v>15</v>
      </c>
      <c r="B76" s="170" t="s">
        <v>194</v>
      </c>
      <c r="C76" s="44">
        <v>3.11</v>
      </c>
      <c r="D76" s="186">
        <f t="shared" si="10"/>
        <v>112.47739602169982</v>
      </c>
      <c r="E76" s="297">
        <v>12</v>
      </c>
      <c r="F76" s="295">
        <v>8</v>
      </c>
      <c r="G76" s="186">
        <v>88</v>
      </c>
      <c r="H76" s="297">
        <v>9</v>
      </c>
      <c r="I76" s="297">
        <v>120</v>
      </c>
      <c r="J76" s="312">
        <v>201</v>
      </c>
      <c r="K76" s="187">
        <v>46.6</v>
      </c>
      <c r="L76" s="188">
        <f t="shared" si="11"/>
        <v>1.3333192000000003</v>
      </c>
      <c r="M76" s="186">
        <f t="shared" si="9"/>
        <v>112.03263128377071</v>
      </c>
      <c r="N76" s="297">
        <v>6</v>
      </c>
      <c r="O76" s="187">
        <v>3.33</v>
      </c>
      <c r="P76" s="187">
        <v>68.31</v>
      </c>
      <c r="Q76" s="189">
        <f t="shared" si="12"/>
        <v>26</v>
      </c>
    </row>
    <row r="77" spans="1:17" s="83" customFormat="1" ht="12.75" x14ac:dyDescent="0.2">
      <c r="A77" s="56">
        <v>16</v>
      </c>
      <c r="B77" s="171" t="s">
        <v>482</v>
      </c>
      <c r="C77" s="44">
        <v>4.33</v>
      </c>
      <c r="D77" s="186">
        <f t="shared" si="10"/>
        <v>156.60036166365279</v>
      </c>
      <c r="E77" s="297">
        <v>18</v>
      </c>
      <c r="F77" s="295">
        <v>8</v>
      </c>
      <c r="G77" s="186">
        <v>86</v>
      </c>
      <c r="H77" s="297">
        <v>9</v>
      </c>
      <c r="I77" s="297">
        <v>126</v>
      </c>
      <c r="J77" s="312">
        <v>201</v>
      </c>
      <c r="K77" s="187">
        <v>49.03</v>
      </c>
      <c r="L77" s="188">
        <f t="shared" si="11"/>
        <v>1.95315908</v>
      </c>
      <c r="M77" s="186">
        <f t="shared" si="9"/>
        <v>164.11490290411237</v>
      </c>
      <c r="N77" s="297">
        <v>9</v>
      </c>
      <c r="O77" s="187">
        <v>2.76</v>
      </c>
      <c r="P77" s="187">
        <v>68.83</v>
      </c>
      <c r="Q77" s="189">
        <f t="shared" si="12"/>
        <v>35</v>
      </c>
    </row>
    <row r="78" spans="1:17" s="83" customFormat="1" ht="12.75" x14ac:dyDescent="0.2">
      <c r="A78" s="56">
        <v>17</v>
      </c>
      <c r="B78" s="171" t="s">
        <v>483</v>
      </c>
      <c r="C78" s="44">
        <v>3.2</v>
      </c>
      <c r="D78" s="186">
        <f t="shared" si="10"/>
        <v>115.73236889692585</v>
      </c>
      <c r="E78" s="41">
        <v>14</v>
      </c>
      <c r="F78" s="295">
        <v>9</v>
      </c>
      <c r="G78" s="186">
        <v>93</v>
      </c>
      <c r="H78" s="41">
        <v>9</v>
      </c>
      <c r="I78" s="41">
        <v>120</v>
      </c>
      <c r="J78" s="312">
        <v>201</v>
      </c>
      <c r="K78" s="187">
        <v>47.81</v>
      </c>
      <c r="L78" s="47">
        <f t="shared" si="7"/>
        <v>1.4075264000000001</v>
      </c>
      <c r="M78" s="186">
        <f t="shared" si="9"/>
        <v>118.26791828496368</v>
      </c>
      <c r="N78" s="41">
        <v>7</v>
      </c>
      <c r="O78" s="45">
        <v>2.98</v>
      </c>
      <c r="P78" s="187">
        <v>69.02</v>
      </c>
      <c r="Q78" s="48">
        <f t="shared" si="8"/>
        <v>30</v>
      </c>
    </row>
    <row r="79" spans="1:17" s="83" customFormat="1" ht="12.75" x14ac:dyDescent="0.2">
      <c r="A79" s="56">
        <v>18</v>
      </c>
      <c r="B79" s="171" t="s">
        <v>51</v>
      </c>
      <c r="C79" s="44">
        <v>4</v>
      </c>
      <c r="D79" s="186">
        <f t="shared" si="10"/>
        <v>144.66546112115731</v>
      </c>
      <c r="E79" s="41">
        <v>18</v>
      </c>
      <c r="F79" s="295">
        <v>9</v>
      </c>
      <c r="G79" s="186">
        <v>91</v>
      </c>
      <c r="H79" s="41">
        <v>9</v>
      </c>
      <c r="I79" s="41">
        <v>120</v>
      </c>
      <c r="J79" s="312">
        <v>201</v>
      </c>
      <c r="K79" s="187">
        <v>47.19</v>
      </c>
      <c r="L79" s="47">
        <f t="shared" si="7"/>
        <v>1.7365919999999999</v>
      </c>
      <c r="M79" s="186">
        <f t="shared" si="9"/>
        <v>145.91777514817599</v>
      </c>
      <c r="N79" s="41">
        <v>9</v>
      </c>
      <c r="O79" s="45">
        <v>2.7</v>
      </c>
      <c r="P79" s="187">
        <v>68.5</v>
      </c>
      <c r="Q79" s="48">
        <f t="shared" si="8"/>
        <v>36</v>
      </c>
    </row>
    <row r="80" spans="1:17" s="83" customFormat="1" ht="12.75" x14ac:dyDescent="0.2">
      <c r="A80" s="56">
        <v>19</v>
      </c>
      <c r="B80" s="171" t="s">
        <v>484</v>
      </c>
      <c r="C80" s="44">
        <v>3.51</v>
      </c>
      <c r="D80" s="186">
        <f t="shared" si="10"/>
        <v>126.94394213381554</v>
      </c>
      <c r="E80" s="41">
        <v>16</v>
      </c>
      <c r="F80" s="295">
        <v>9</v>
      </c>
      <c r="G80" s="186">
        <v>91</v>
      </c>
      <c r="H80" s="41">
        <v>9</v>
      </c>
      <c r="I80" s="41">
        <v>110</v>
      </c>
      <c r="J80" s="312">
        <v>201</v>
      </c>
      <c r="K80" s="187">
        <v>47.27</v>
      </c>
      <c r="L80" s="47">
        <f t="shared" si="7"/>
        <v>1.5264428400000001</v>
      </c>
      <c r="M80" s="186">
        <f t="shared" si="9"/>
        <v>128.25991545720768</v>
      </c>
      <c r="N80" s="41">
        <v>8</v>
      </c>
      <c r="O80" s="45">
        <v>2.94</v>
      </c>
      <c r="P80" s="187">
        <v>68.7</v>
      </c>
      <c r="Q80" s="48">
        <f t="shared" si="8"/>
        <v>33</v>
      </c>
    </row>
    <row r="81" spans="1:18" s="198" customFormat="1" ht="12.75" x14ac:dyDescent="0.2">
      <c r="A81" s="179">
        <v>20</v>
      </c>
      <c r="B81" s="171" t="s">
        <v>196</v>
      </c>
      <c r="C81" s="188">
        <v>2.94</v>
      </c>
      <c r="D81" s="186">
        <f t="shared" si="10"/>
        <v>106.32911392405063</v>
      </c>
      <c r="E81" s="190">
        <v>12</v>
      </c>
      <c r="F81" s="190">
        <v>9</v>
      </c>
      <c r="G81" s="189">
        <v>100</v>
      </c>
      <c r="H81" s="190">
        <v>9</v>
      </c>
      <c r="I81" s="190">
        <v>114</v>
      </c>
      <c r="J81" s="312">
        <v>201</v>
      </c>
      <c r="K81" s="191">
        <v>46.93</v>
      </c>
      <c r="L81" s="188">
        <f t="shared" si="7"/>
        <v>1.26936264</v>
      </c>
      <c r="M81" s="186">
        <f t="shared" si="9"/>
        <v>106.65865804116054</v>
      </c>
      <c r="N81" s="190">
        <v>6</v>
      </c>
      <c r="O81" s="191">
        <v>2.99</v>
      </c>
      <c r="P81" s="191">
        <v>68.59</v>
      </c>
      <c r="Q81" s="189">
        <f t="shared" si="8"/>
        <v>27</v>
      </c>
      <c r="R81" s="198" t="s">
        <v>197</v>
      </c>
    </row>
    <row r="82" spans="1:18" s="83" customFormat="1" ht="12.75" x14ac:dyDescent="0.2">
      <c r="A82" s="56">
        <v>21</v>
      </c>
      <c r="B82" s="170" t="s">
        <v>485</v>
      </c>
      <c r="C82" s="44">
        <v>3.59</v>
      </c>
      <c r="D82" s="186">
        <f t="shared" si="10"/>
        <v>129.83725135623868</v>
      </c>
      <c r="E82" s="41">
        <v>16</v>
      </c>
      <c r="F82" s="295">
        <v>8</v>
      </c>
      <c r="G82" s="186">
        <v>88</v>
      </c>
      <c r="H82" s="41">
        <v>9</v>
      </c>
      <c r="I82" s="41">
        <v>118</v>
      </c>
      <c r="J82" s="312">
        <v>201</v>
      </c>
      <c r="K82" s="187">
        <v>46.59</v>
      </c>
      <c r="L82" s="47">
        <f t="shared" si="7"/>
        <v>1.5387745199999998</v>
      </c>
      <c r="M82" s="186">
        <f t="shared" si="9"/>
        <v>129.2960893595631</v>
      </c>
      <c r="N82" s="41">
        <v>8</v>
      </c>
      <c r="O82" s="45">
        <v>3.38</v>
      </c>
      <c r="P82" s="187">
        <v>68.239999999999995</v>
      </c>
      <c r="Q82" s="48">
        <f t="shared" si="8"/>
        <v>32</v>
      </c>
    </row>
    <row r="83" spans="1:18" s="83" customFormat="1" ht="12.75" x14ac:dyDescent="0.2">
      <c r="A83" s="56">
        <v>22</v>
      </c>
      <c r="B83" s="171" t="s">
        <v>486</v>
      </c>
      <c r="C83" s="44">
        <v>2.58</v>
      </c>
      <c r="D83" s="186">
        <f t="shared" si="10"/>
        <v>93.309222423146466</v>
      </c>
      <c r="E83" s="41">
        <v>8</v>
      </c>
      <c r="F83" s="295">
        <v>8</v>
      </c>
      <c r="G83" s="186">
        <v>85</v>
      </c>
      <c r="H83" s="41">
        <v>9</v>
      </c>
      <c r="I83" s="41">
        <v>104</v>
      </c>
      <c r="J83" s="312">
        <v>201</v>
      </c>
      <c r="K83" s="187">
        <v>45.58</v>
      </c>
      <c r="L83" s="47">
        <f t="shared" si="7"/>
        <v>1.0818868799999999</v>
      </c>
      <c r="M83" s="186">
        <f t="shared" si="9"/>
        <v>90.905939041295625</v>
      </c>
      <c r="N83" s="41">
        <v>4</v>
      </c>
      <c r="O83" s="45">
        <v>3.21</v>
      </c>
      <c r="P83" s="187">
        <v>69.61</v>
      </c>
      <c r="Q83" s="48">
        <f t="shared" si="8"/>
        <v>20</v>
      </c>
    </row>
    <row r="84" spans="1:18" s="83" customFormat="1" ht="12.75" x14ac:dyDescent="0.2"/>
    <row r="85" spans="1:18" s="83" customFormat="1" ht="12.75" x14ac:dyDescent="0.2">
      <c r="A85" s="111" t="s">
        <v>293</v>
      </c>
    </row>
    <row r="86" spans="1:18" s="83" customFormat="1" ht="12.75" x14ac:dyDescent="0.2">
      <c r="A86" s="254">
        <v>1</v>
      </c>
      <c r="B86" s="254" t="s">
        <v>50</v>
      </c>
      <c r="C86" s="249">
        <f>SUM(C36+C61)/2</f>
        <v>3.6924999999999999</v>
      </c>
      <c r="D86" s="247">
        <v>100</v>
      </c>
      <c r="E86" s="247">
        <v>10</v>
      </c>
      <c r="F86" s="251">
        <f>SUM(F11+F36+F61)/3</f>
        <v>7.166666666666667</v>
      </c>
      <c r="G86" s="251">
        <f>(G11+G36+G61)/3</f>
        <v>76.5</v>
      </c>
      <c r="H86" s="251">
        <f t="shared" ref="H86:K87" si="13">SUM(H36+H61)/2</f>
        <v>9</v>
      </c>
      <c r="I86" s="251">
        <f t="shared" si="13"/>
        <v>110</v>
      </c>
      <c r="J86" s="251">
        <f t="shared" si="13"/>
        <v>199</v>
      </c>
      <c r="K86" s="250">
        <f t="shared" si="13"/>
        <v>48.337499999999999</v>
      </c>
      <c r="L86" s="249">
        <f t="shared" ref="L86:L108" si="14">(((C86*92)/100)*K86)/100</f>
        <v>1.6420732125000002</v>
      </c>
      <c r="M86" s="247">
        <v>100</v>
      </c>
      <c r="N86" s="247">
        <v>5</v>
      </c>
      <c r="O86" s="250">
        <f>SUM(O36+O61)/2</f>
        <v>4.1150000000000002</v>
      </c>
      <c r="P86" s="250">
        <f>SUM(P36+P61)/2</f>
        <v>68.982500000000002</v>
      </c>
      <c r="Q86" s="251">
        <f t="shared" ref="Q86:Q108" si="15">(E86+F86+N86)</f>
        <v>22.166666666666668</v>
      </c>
    </row>
    <row r="87" spans="1:18" s="83" customFormat="1" ht="12.75" x14ac:dyDescent="0.2">
      <c r="A87" s="254">
        <v>2</v>
      </c>
      <c r="B87" s="262" t="s">
        <v>473</v>
      </c>
      <c r="C87" s="249">
        <f>SUM(C37+C62)/2</f>
        <v>3.605</v>
      </c>
      <c r="D87" s="251">
        <v>100</v>
      </c>
      <c r="E87" s="247">
        <v>10</v>
      </c>
      <c r="F87" s="251">
        <f>SUM(F12+F37+F62)/3</f>
        <v>7.333333333333333</v>
      </c>
      <c r="G87" s="251">
        <f>(G12+G37+G62)/3</f>
        <v>78</v>
      </c>
      <c r="H87" s="251">
        <f t="shared" si="13"/>
        <v>9</v>
      </c>
      <c r="I87" s="251">
        <f t="shared" si="13"/>
        <v>115.25</v>
      </c>
      <c r="J87" s="251">
        <f t="shared" si="13"/>
        <v>199</v>
      </c>
      <c r="K87" s="250">
        <f t="shared" si="13"/>
        <v>47.784999999999997</v>
      </c>
      <c r="L87" s="249">
        <f t="shared" si="14"/>
        <v>1.5848373100000002</v>
      </c>
      <c r="M87" s="251">
        <v>100</v>
      </c>
      <c r="N87" s="247">
        <v>5</v>
      </c>
      <c r="O87" s="250">
        <f>SUM(O37+O62)/2</f>
        <v>3.95</v>
      </c>
      <c r="P87" s="250">
        <f>SUM(P37+P62)/2</f>
        <v>68.324999999999989</v>
      </c>
      <c r="Q87" s="251">
        <f t="shared" si="15"/>
        <v>22.333333333333332</v>
      </c>
    </row>
    <row r="88" spans="1:18" s="83" customFormat="1" ht="12.75" x14ac:dyDescent="0.2">
      <c r="A88" s="254"/>
      <c r="B88" s="262" t="s">
        <v>300</v>
      </c>
      <c r="C88" s="249">
        <f>(C86+C87)/2</f>
        <v>3.6487499999999997</v>
      </c>
      <c r="D88" s="251">
        <v>100</v>
      </c>
      <c r="E88" s="247">
        <v>10</v>
      </c>
      <c r="F88" s="251">
        <f t="shared" ref="F88:K88" si="16">(F86+F87)/2</f>
        <v>7.25</v>
      </c>
      <c r="G88" s="251">
        <f t="shared" si="16"/>
        <v>77.25</v>
      </c>
      <c r="H88" s="251">
        <f t="shared" si="16"/>
        <v>9</v>
      </c>
      <c r="I88" s="251">
        <f t="shared" si="16"/>
        <v>112.625</v>
      </c>
      <c r="J88" s="251">
        <f t="shared" si="16"/>
        <v>199</v>
      </c>
      <c r="K88" s="250">
        <f t="shared" si="16"/>
        <v>48.061250000000001</v>
      </c>
      <c r="L88" s="249">
        <f t="shared" si="14"/>
        <v>1.613344070625</v>
      </c>
      <c r="M88" s="251">
        <v>100</v>
      </c>
      <c r="N88" s="247">
        <v>5</v>
      </c>
      <c r="O88" s="250">
        <f>(O86+O87)/2</f>
        <v>4.0325000000000006</v>
      </c>
      <c r="P88" s="250">
        <f>(P86+P87)/2</f>
        <v>68.653750000000002</v>
      </c>
      <c r="Q88" s="251">
        <f t="shared" si="15"/>
        <v>22.25</v>
      </c>
    </row>
    <row r="89" spans="1:18" s="83" customFormat="1" ht="12.75" x14ac:dyDescent="0.2">
      <c r="A89" s="56">
        <v>3</v>
      </c>
      <c r="B89" s="169" t="s">
        <v>191</v>
      </c>
      <c r="C89" s="47">
        <f>SUM(C39+C64)/2</f>
        <v>3.9399999999999995</v>
      </c>
      <c r="D89" s="186">
        <f>(C89*100)/C$88</f>
        <v>107.9821856800274</v>
      </c>
      <c r="E89" s="41">
        <v>12</v>
      </c>
      <c r="F89" s="48">
        <f t="shared" ref="F89:F102" si="17">SUM(F14+F39+F64)/3</f>
        <v>6.666666666666667</v>
      </c>
      <c r="G89" s="48">
        <f t="shared" ref="G89:G102" si="18">(G14+G39+G64)/3</f>
        <v>71</v>
      </c>
      <c r="H89" s="48">
        <f>SUM(H39+H64)/2</f>
        <v>8.5</v>
      </c>
      <c r="I89" s="48">
        <f>SUM(I39+I64)/2</f>
        <v>112.5</v>
      </c>
      <c r="J89" s="48">
        <f>SUM(J39+J64)/2</f>
        <v>199</v>
      </c>
      <c r="K89" s="50">
        <f>SUM(K39+K64)/2</f>
        <v>48</v>
      </c>
      <c r="L89" s="47">
        <f t="shared" si="14"/>
        <v>1.7399039999999997</v>
      </c>
      <c r="M89" s="42">
        <f>(L89*100)/L$88</f>
        <v>107.84457151325266</v>
      </c>
      <c r="N89" s="41">
        <v>6</v>
      </c>
      <c r="O89" s="191">
        <f>SUM(O39+O64)/2</f>
        <v>4.085</v>
      </c>
      <c r="P89" s="191">
        <f>SUM(P39+P64)/2</f>
        <v>69.745000000000005</v>
      </c>
      <c r="Q89" s="48">
        <f t="shared" si="15"/>
        <v>24.666666666666668</v>
      </c>
    </row>
    <row r="90" spans="1:18" s="83" customFormat="1" ht="12.75" x14ac:dyDescent="0.2">
      <c r="A90" s="56">
        <v>4</v>
      </c>
      <c r="B90" s="169" t="s">
        <v>192</v>
      </c>
      <c r="C90" s="188">
        <f t="shared" ref="C90:C108" si="19">SUM(C40+C65)/2</f>
        <v>3.5200000000000005</v>
      </c>
      <c r="D90" s="186">
        <f t="shared" ref="D90:D108" si="20">(C90*100)/C$88</f>
        <v>96.471394313120953</v>
      </c>
      <c r="E90" s="41">
        <v>10</v>
      </c>
      <c r="F90" s="48">
        <f t="shared" si="17"/>
        <v>7.333333333333333</v>
      </c>
      <c r="G90" s="48">
        <f t="shared" si="18"/>
        <v>77.333333333333329</v>
      </c>
      <c r="H90" s="189">
        <f t="shared" ref="H90:K108" si="21">SUM(H40+H65)/2</f>
        <v>9</v>
      </c>
      <c r="I90" s="189">
        <f t="shared" si="21"/>
        <v>115</v>
      </c>
      <c r="J90" s="189">
        <f t="shared" si="21"/>
        <v>199</v>
      </c>
      <c r="K90" s="191">
        <f t="shared" si="21"/>
        <v>48.980000000000004</v>
      </c>
      <c r="L90" s="47">
        <f t="shared" si="14"/>
        <v>1.5861683200000005</v>
      </c>
      <c r="M90" s="186">
        <f t="shared" ref="M90:M108" si="22">(L90*100)/L$88</f>
        <v>98.315563857716242</v>
      </c>
      <c r="N90" s="41">
        <v>5</v>
      </c>
      <c r="O90" s="191">
        <f t="shared" ref="O90:O108" si="23">SUM(O40+O65)/2</f>
        <v>3.65</v>
      </c>
      <c r="P90" s="191">
        <f t="shared" ref="P90:P108" si="24">SUM(P40+P65)/2</f>
        <v>66.844999999999999</v>
      </c>
      <c r="Q90" s="48">
        <f t="shared" si="15"/>
        <v>22.333333333333332</v>
      </c>
    </row>
    <row r="91" spans="1:18" s="83" customFormat="1" ht="12.75" x14ac:dyDescent="0.2">
      <c r="A91" s="56">
        <v>5</v>
      </c>
      <c r="B91" s="169" t="s">
        <v>193</v>
      </c>
      <c r="C91" s="188">
        <f t="shared" si="19"/>
        <v>3.145</v>
      </c>
      <c r="D91" s="186">
        <f t="shared" si="20"/>
        <v>86.193902021240163</v>
      </c>
      <c r="E91" s="41">
        <v>8</v>
      </c>
      <c r="F91" s="48">
        <f t="shared" si="17"/>
        <v>7</v>
      </c>
      <c r="G91" s="48">
        <f t="shared" si="18"/>
        <v>76.333333333333329</v>
      </c>
      <c r="H91" s="189">
        <f t="shared" si="21"/>
        <v>9</v>
      </c>
      <c r="I91" s="189">
        <f t="shared" si="21"/>
        <v>117.5</v>
      </c>
      <c r="J91" s="189">
        <f t="shared" si="21"/>
        <v>199</v>
      </c>
      <c r="K91" s="191">
        <f t="shared" si="21"/>
        <v>49.174999999999997</v>
      </c>
      <c r="L91" s="47">
        <f t="shared" si="14"/>
        <v>1.4228294499999998</v>
      </c>
      <c r="M91" s="186">
        <f t="shared" si="22"/>
        <v>88.191321114088467</v>
      </c>
      <c r="N91" s="41">
        <v>4</v>
      </c>
      <c r="O91" s="191">
        <f t="shared" si="23"/>
        <v>3.5649999999999999</v>
      </c>
      <c r="P91" s="191">
        <f t="shared" si="24"/>
        <v>67.240000000000009</v>
      </c>
      <c r="Q91" s="48">
        <f t="shared" si="15"/>
        <v>19</v>
      </c>
    </row>
    <row r="92" spans="1:18" s="83" customFormat="1" ht="12.75" x14ac:dyDescent="0.2">
      <c r="A92" s="56">
        <v>6</v>
      </c>
      <c r="B92" s="169" t="s">
        <v>474</v>
      </c>
      <c r="C92" s="188">
        <f t="shared" si="19"/>
        <v>3.7450000000000001</v>
      </c>
      <c r="D92" s="186">
        <f t="shared" si="20"/>
        <v>102.6378896882494</v>
      </c>
      <c r="E92" s="41">
        <v>10</v>
      </c>
      <c r="F92" s="48">
        <f t="shared" si="17"/>
        <v>7.333333333333333</v>
      </c>
      <c r="G92" s="48">
        <f t="shared" si="18"/>
        <v>78.666666666666671</v>
      </c>
      <c r="H92" s="189">
        <f t="shared" si="21"/>
        <v>9</v>
      </c>
      <c r="I92" s="189">
        <f t="shared" si="21"/>
        <v>118.5</v>
      </c>
      <c r="J92" s="189">
        <f t="shared" si="21"/>
        <v>199</v>
      </c>
      <c r="K92" s="191">
        <f t="shared" si="21"/>
        <v>48.495000000000005</v>
      </c>
      <c r="L92" s="47">
        <f t="shared" si="14"/>
        <v>1.6708467300000003</v>
      </c>
      <c r="M92" s="186">
        <f t="shared" si="22"/>
        <v>103.56419070314767</v>
      </c>
      <c r="N92" s="41">
        <v>5</v>
      </c>
      <c r="O92" s="191">
        <f t="shared" si="23"/>
        <v>3.5600000000000005</v>
      </c>
      <c r="P92" s="191">
        <f t="shared" si="24"/>
        <v>68.210000000000008</v>
      </c>
      <c r="Q92" s="48">
        <f t="shared" si="15"/>
        <v>22.333333333333332</v>
      </c>
    </row>
    <row r="93" spans="1:18" s="83" customFormat="1" ht="12.75" x14ac:dyDescent="0.2">
      <c r="A93" s="56">
        <v>7</v>
      </c>
      <c r="B93" s="169" t="s">
        <v>475</v>
      </c>
      <c r="C93" s="188">
        <f t="shared" si="19"/>
        <v>4.34</v>
      </c>
      <c r="D93" s="186">
        <f t="shared" si="20"/>
        <v>118.94484412470025</v>
      </c>
      <c r="E93" s="41">
        <v>14</v>
      </c>
      <c r="F93" s="48">
        <f t="shared" si="17"/>
        <v>7</v>
      </c>
      <c r="G93" s="48">
        <f t="shared" si="18"/>
        <v>74.666666666666671</v>
      </c>
      <c r="H93" s="189">
        <f t="shared" si="21"/>
        <v>9</v>
      </c>
      <c r="I93" s="189">
        <f t="shared" si="21"/>
        <v>120.5</v>
      </c>
      <c r="J93" s="189">
        <f t="shared" si="21"/>
        <v>199</v>
      </c>
      <c r="K93" s="191">
        <f t="shared" si="21"/>
        <v>49.8</v>
      </c>
      <c r="L93" s="47">
        <f t="shared" si="14"/>
        <v>1.9884143999999997</v>
      </c>
      <c r="M93" s="186">
        <f t="shared" si="22"/>
        <v>123.24800618814682</v>
      </c>
      <c r="N93" s="41">
        <v>7</v>
      </c>
      <c r="O93" s="191">
        <f t="shared" si="23"/>
        <v>3.9899999999999998</v>
      </c>
      <c r="P93" s="191">
        <f t="shared" si="24"/>
        <v>68.944999999999993</v>
      </c>
      <c r="Q93" s="48">
        <f t="shared" si="15"/>
        <v>28</v>
      </c>
    </row>
    <row r="94" spans="1:18" s="83" customFormat="1" ht="12.75" x14ac:dyDescent="0.2">
      <c r="A94" s="56">
        <v>8</v>
      </c>
      <c r="B94" s="169" t="s">
        <v>476</v>
      </c>
      <c r="C94" s="188">
        <f t="shared" si="19"/>
        <v>4.2149999999999999</v>
      </c>
      <c r="D94" s="186">
        <f t="shared" si="20"/>
        <v>115.51901336073999</v>
      </c>
      <c r="E94" s="41">
        <v>14</v>
      </c>
      <c r="F94" s="48">
        <f t="shared" si="17"/>
        <v>8</v>
      </c>
      <c r="G94" s="48">
        <f t="shared" si="18"/>
        <v>84.666666666666671</v>
      </c>
      <c r="H94" s="189">
        <f t="shared" si="21"/>
        <v>9</v>
      </c>
      <c r="I94" s="189">
        <f t="shared" si="21"/>
        <v>116.5</v>
      </c>
      <c r="J94" s="189">
        <f t="shared" si="21"/>
        <v>199</v>
      </c>
      <c r="K94" s="191">
        <f t="shared" si="21"/>
        <v>47.91</v>
      </c>
      <c r="L94" s="47">
        <f t="shared" si="14"/>
        <v>1.8578539799999996</v>
      </c>
      <c r="M94" s="186">
        <f t="shared" si="22"/>
        <v>115.15547203023333</v>
      </c>
      <c r="N94" s="41">
        <v>6</v>
      </c>
      <c r="O94" s="191">
        <f t="shared" si="23"/>
        <v>3.37</v>
      </c>
      <c r="P94" s="191">
        <f t="shared" si="24"/>
        <v>68.414999999999992</v>
      </c>
      <c r="Q94" s="48">
        <f t="shared" si="15"/>
        <v>28</v>
      </c>
    </row>
    <row r="95" spans="1:18" s="83" customFormat="1" ht="12.75" x14ac:dyDescent="0.2">
      <c r="A95" s="56">
        <v>9</v>
      </c>
      <c r="B95" s="169" t="s">
        <v>477</v>
      </c>
      <c r="C95" s="188">
        <f t="shared" si="19"/>
        <v>3.48</v>
      </c>
      <c r="D95" s="186">
        <f t="shared" si="20"/>
        <v>95.375128468653656</v>
      </c>
      <c r="E95" s="41">
        <v>8</v>
      </c>
      <c r="F95" s="48">
        <f t="shared" si="17"/>
        <v>6.666666666666667</v>
      </c>
      <c r="G95" s="48">
        <f t="shared" si="18"/>
        <v>72.666666666666671</v>
      </c>
      <c r="H95" s="189">
        <f t="shared" si="21"/>
        <v>9</v>
      </c>
      <c r="I95" s="189">
        <f t="shared" si="21"/>
        <v>120.5</v>
      </c>
      <c r="J95" s="189">
        <f t="shared" si="21"/>
        <v>199</v>
      </c>
      <c r="K95" s="191">
        <f t="shared" si="21"/>
        <v>45.745000000000005</v>
      </c>
      <c r="L95" s="47">
        <f t="shared" si="14"/>
        <v>1.4645719200000005</v>
      </c>
      <c r="M95" s="186">
        <f t="shared" si="22"/>
        <v>90.778647076357004</v>
      </c>
      <c r="N95" s="41">
        <v>4</v>
      </c>
      <c r="O95" s="191">
        <f t="shared" si="23"/>
        <v>4.1500000000000004</v>
      </c>
      <c r="P95" s="191">
        <f t="shared" si="24"/>
        <v>68.63</v>
      </c>
      <c r="Q95" s="48">
        <f t="shared" si="15"/>
        <v>18.666666666666668</v>
      </c>
    </row>
    <row r="96" spans="1:18" s="83" customFormat="1" ht="12.75" x14ac:dyDescent="0.2">
      <c r="A96" s="56">
        <v>10</v>
      </c>
      <c r="B96" s="169" t="s">
        <v>478</v>
      </c>
      <c r="C96" s="188">
        <f t="shared" si="19"/>
        <v>3.8550000000000004</v>
      </c>
      <c r="D96" s="186">
        <f t="shared" si="20"/>
        <v>105.65262076053445</v>
      </c>
      <c r="E96" s="41">
        <v>12</v>
      </c>
      <c r="F96" s="48">
        <f t="shared" si="17"/>
        <v>8</v>
      </c>
      <c r="G96" s="48">
        <f t="shared" si="18"/>
        <v>86.666666666666671</v>
      </c>
      <c r="H96" s="189">
        <f t="shared" si="21"/>
        <v>9</v>
      </c>
      <c r="I96" s="189">
        <f t="shared" si="21"/>
        <v>118.5</v>
      </c>
      <c r="J96" s="189">
        <f t="shared" si="21"/>
        <v>199</v>
      </c>
      <c r="K96" s="191">
        <f t="shared" si="21"/>
        <v>47.305000000000007</v>
      </c>
      <c r="L96" s="47">
        <f t="shared" si="14"/>
        <v>1.6777191300000005</v>
      </c>
      <c r="M96" s="186">
        <f t="shared" si="22"/>
        <v>103.99016307476569</v>
      </c>
      <c r="N96" s="41">
        <v>5</v>
      </c>
      <c r="O96" s="191">
        <f t="shared" si="23"/>
        <v>3.95</v>
      </c>
      <c r="P96" s="191">
        <f t="shared" si="24"/>
        <v>69.075000000000003</v>
      </c>
      <c r="Q96" s="48">
        <f t="shared" si="15"/>
        <v>25</v>
      </c>
    </row>
    <row r="97" spans="1:18" s="83" customFormat="1" ht="12.75" x14ac:dyDescent="0.2">
      <c r="A97" s="56">
        <v>11</v>
      </c>
      <c r="B97" s="170" t="s">
        <v>479</v>
      </c>
      <c r="C97" s="188">
        <f t="shared" si="19"/>
        <v>4.0649999999999995</v>
      </c>
      <c r="D97" s="186">
        <f t="shared" si="20"/>
        <v>111.40801644398766</v>
      </c>
      <c r="E97" s="41">
        <v>12</v>
      </c>
      <c r="F97" s="48">
        <f t="shared" si="17"/>
        <v>8</v>
      </c>
      <c r="G97" s="48">
        <f t="shared" si="18"/>
        <v>82.333333333333329</v>
      </c>
      <c r="H97" s="189">
        <f t="shared" si="21"/>
        <v>9</v>
      </c>
      <c r="I97" s="189">
        <f t="shared" si="21"/>
        <v>120.5</v>
      </c>
      <c r="J97" s="189">
        <f t="shared" si="21"/>
        <v>199</v>
      </c>
      <c r="K97" s="191">
        <f t="shared" si="21"/>
        <v>47.724999999999994</v>
      </c>
      <c r="L97" s="47">
        <f t="shared" si="14"/>
        <v>1.7848195499999997</v>
      </c>
      <c r="M97" s="186">
        <f t="shared" si="22"/>
        <v>110.62857467896301</v>
      </c>
      <c r="N97" s="41">
        <v>6</v>
      </c>
      <c r="O97" s="191">
        <f t="shared" si="23"/>
        <v>3.855</v>
      </c>
      <c r="P97" s="191">
        <f t="shared" si="24"/>
        <v>68.875</v>
      </c>
      <c r="Q97" s="48">
        <f t="shared" si="15"/>
        <v>26</v>
      </c>
    </row>
    <row r="98" spans="1:18" s="83" customFormat="1" ht="12.75" x14ac:dyDescent="0.2">
      <c r="A98" s="56">
        <v>12</v>
      </c>
      <c r="B98" s="170" t="s">
        <v>480</v>
      </c>
      <c r="C98" s="188">
        <f t="shared" si="19"/>
        <v>4.0549999999999997</v>
      </c>
      <c r="D98" s="186">
        <f t="shared" si="20"/>
        <v>111.13394998287086</v>
      </c>
      <c r="E98" s="41">
        <v>12</v>
      </c>
      <c r="F98" s="48">
        <f t="shared" si="17"/>
        <v>7.333333333333333</v>
      </c>
      <c r="G98" s="48">
        <f t="shared" si="18"/>
        <v>80.333333333333329</v>
      </c>
      <c r="H98" s="189">
        <f t="shared" si="21"/>
        <v>9</v>
      </c>
      <c r="I98" s="189">
        <f t="shared" si="21"/>
        <v>125</v>
      </c>
      <c r="J98" s="189">
        <f t="shared" si="21"/>
        <v>199</v>
      </c>
      <c r="K98" s="191">
        <f t="shared" si="21"/>
        <v>47.965000000000003</v>
      </c>
      <c r="L98" s="47">
        <f t="shared" si="14"/>
        <v>1.7893822899999998</v>
      </c>
      <c r="M98" s="186">
        <f t="shared" si="22"/>
        <v>110.91138725955733</v>
      </c>
      <c r="N98" s="41">
        <v>6</v>
      </c>
      <c r="O98" s="191">
        <f t="shared" si="23"/>
        <v>4.0350000000000001</v>
      </c>
      <c r="P98" s="191">
        <f t="shared" si="24"/>
        <v>69.365000000000009</v>
      </c>
      <c r="Q98" s="48">
        <f t="shared" si="15"/>
        <v>25.333333333333332</v>
      </c>
    </row>
    <row r="99" spans="1:18" s="83" customFormat="1" ht="12.75" x14ac:dyDescent="0.2">
      <c r="A99" s="56">
        <v>13</v>
      </c>
      <c r="B99" s="170" t="s">
        <v>195</v>
      </c>
      <c r="C99" s="188">
        <f t="shared" si="19"/>
        <v>4.41</v>
      </c>
      <c r="D99" s="186">
        <f t="shared" si="20"/>
        <v>120.863309352518</v>
      </c>
      <c r="E99" s="41">
        <v>14</v>
      </c>
      <c r="F99" s="48">
        <f t="shared" si="17"/>
        <v>7.666666666666667</v>
      </c>
      <c r="G99" s="48">
        <f t="shared" si="18"/>
        <v>80.666666666666671</v>
      </c>
      <c r="H99" s="189">
        <f t="shared" si="21"/>
        <v>9</v>
      </c>
      <c r="I99" s="189">
        <f t="shared" si="21"/>
        <v>125.5</v>
      </c>
      <c r="J99" s="189">
        <f t="shared" si="21"/>
        <v>199</v>
      </c>
      <c r="K99" s="191">
        <f t="shared" si="21"/>
        <v>47.54</v>
      </c>
      <c r="L99" s="47">
        <f t="shared" si="14"/>
        <v>1.92879288</v>
      </c>
      <c r="M99" s="186">
        <f t="shared" si="22"/>
        <v>119.5524820228085</v>
      </c>
      <c r="N99" s="41">
        <v>7</v>
      </c>
      <c r="O99" s="191">
        <f t="shared" si="23"/>
        <v>3.97</v>
      </c>
      <c r="P99" s="191">
        <f t="shared" si="24"/>
        <v>69.275000000000006</v>
      </c>
      <c r="Q99" s="48">
        <f t="shared" si="15"/>
        <v>28.666666666666668</v>
      </c>
    </row>
    <row r="100" spans="1:18" s="83" customFormat="1" ht="12.75" x14ac:dyDescent="0.2">
      <c r="A100" s="56">
        <v>14</v>
      </c>
      <c r="B100" s="170" t="s">
        <v>481</v>
      </c>
      <c r="C100" s="188">
        <f t="shared" si="19"/>
        <v>4.2450000000000001</v>
      </c>
      <c r="D100" s="186">
        <f t="shared" si="20"/>
        <v>116.34121274409046</v>
      </c>
      <c r="E100" s="297">
        <v>14</v>
      </c>
      <c r="F100" s="189">
        <f t="shared" si="17"/>
        <v>7.666666666666667</v>
      </c>
      <c r="G100" s="189">
        <f t="shared" si="18"/>
        <v>82.333333333333329</v>
      </c>
      <c r="H100" s="189">
        <f t="shared" si="21"/>
        <v>9</v>
      </c>
      <c r="I100" s="189">
        <f t="shared" si="21"/>
        <v>119.5</v>
      </c>
      <c r="J100" s="189">
        <f t="shared" si="21"/>
        <v>199</v>
      </c>
      <c r="K100" s="191">
        <f t="shared" si="21"/>
        <v>47.09</v>
      </c>
      <c r="L100" s="188">
        <f t="shared" ref="L100:L102" si="25">(((C100*92)/100)*K100)/100</f>
        <v>1.8390528600000002</v>
      </c>
      <c r="M100" s="186">
        <f t="shared" si="22"/>
        <v>113.99012110836109</v>
      </c>
      <c r="N100" s="297">
        <v>6</v>
      </c>
      <c r="O100" s="191">
        <f t="shared" si="23"/>
        <v>3.9249999999999998</v>
      </c>
      <c r="P100" s="191">
        <f t="shared" si="24"/>
        <v>68.539999999999992</v>
      </c>
      <c r="Q100" s="189">
        <f t="shared" ref="Q100:Q102" si="26">(E100+F100+N100)</f>
        <v>27.666666666666668</v>
      </c>
    </row>
    <row r="101" spans="1:18" s="83" customFormat="1" ht="12.75" x14ac:dyDescent="0.2">
      <c r="A101" s="56">
        <v>15</v>
      </c>
      <c r="B101" s="170" t="s">
        <v>194</v>
      </c>
      <c r="C101" s="188">
        <f t="shared" si="19"/>
        <v>4.05</v>
      </c>
      <c r="D101" s="186">
        <f t="shared" si="20"/>
        <v>110.99691675231244</v>
      </c>
      <c r="E101" s="297">
        <v>12</v>
      </c>
      <c r="F101" s="189">
        <f t="shared" si="17"/>
        <v>7.333333333333333</v>
      </c>
      <c r="G101" s="189">
        <f t="shared" si="18"/>
        <v>82</v>
      </c>
      <c r="H101" s="189">
        <f t="shared" si="21"/>
        <v>9</v>
      </c>
      <c r="I101" s="189">
        <f t="shared" si="21"/>
        <v>116.5</v>
      </c>
      <c r="J101" s="189">
        <f t="shared" si="21"/>
        <v>199</v>
      </c>
      <c r="K101" s="191">
        <f t="shared" si="21"/>
        <v>47.695</v>
      </c>
      <c r="L101" s="188">
        <f t="shared" si="25"/>
        <v>1.7771156999999997</v>
      </c>
      <c r="M101" s="186">
        <f t="shared" si="22"/>
        <v>110.15106649330886</v>
      </c>
      <c r="N101" s="297">
        <v>6</v>
      </c>
      <c r="O101" s="191">
        <f t="shared" si="23"/>
        <v>4.2149999999999999</v>
      </c>
      <c r="P101" s="191">
        <f t="shared" si="24"/>
        <v>68.050000000000011</v>
      </c>
      <c r="Q101" s="189">
        <f t="shared" si="26"/>
        <v>25.333333333333332</v>
      </c>
    </row>
    <row r="102" spans="1:18" s="83" customFormat="1" ht="12.75" x14ac:dyDescent="0.2">
      <c r="A102" s="56">
        <v>16</v>
      </c>
      <c r="B102" s="171" t="s">
        <v>482</v>
      </c>
      <c r="C102" s="188">
        <f t="shared" si="19"/>
        <v>5.2</v>
      </c>
      <c r="D102" s="186">
        <f t="shared" si="20"/>
        <v>142.51455978074685</v>
      </c>
      <c r="E102" s="297">
        <v>18</v>
      </c>
      <c r="F102" s="189">
        <f t="shared" si="17"/>
        <v>7</v>
      </c>
      <c r="G102" s="189">
        <f t="shared" si="18"/>
        <v>75.666666666666671</v>
      </c>
      <c r="H102" s="189">
        <f t="shared" si="21"/>
        <v>9</v>
      </c>
      <c r="I102" s="189">
        <f t="shared" si="21"/>
        <v>124.5</v>
      </c>
      <c r="J102" s="189">
        <f t="shared" si="21"/>
        <v>199</v>
      </c>
      <c r="K102" s="191">
        <f t="shared" si="21"/>
        <v>49.844999999999999</v>
      </c>
      <c r="L102" s="188">
        <f t="shared" si="25"/>
        <v>2.3845848000000003</v>
      </c>
      <c r="M102" s="186">
        <f t="shared" si="22"/>
        <v>147.80385928937193</v>
      </c>
      <c r="N102" s="297">
        <v>9</v>
      </c>
      <c r="O102" s="191">
        <f t="shared" si="23"/>
        <v>3.6799999999999997</v>
      </c>
      <c r="P102" s="191">
        <f t="shared" si="24"/>
        <v>69.14</v>
      </c>
      <c r="Q102" s="189">
        <f t="shared" si="26"/>
        <v>34</v>
      </c>
    </row>
    <row r="103" spans="1:18" s="83" customFormat="1" ht="12.75" x14ac:dyDescent="0.2">
      <c r="A103" s="56">
        <v>17</v>
      </c>
      <c r="B103" s="171" t="s">
        <v>483</v>
      </c>
      <c r="C103" s="188">
        <f t="shared" si="19"/>
        <v>4.04</v>
      </c>
      <c r="D103" s="186">
        <f t="shared" si="20"/>
        <v>110.72285029119563</v>
      </c>
      <c r="E103" s="41">
        <v>14</v>
      </c>
      <c r="F103" s="48">
        <f>SUM(F25+F50+F78)/3</f>
        <v>7.666666666666667</v>
      </c>
      <c r="G103" s="48">
        <f>(G25+G50+G78)/3</f>
        <v>82</v>
      </c>
      <c r="H103" s="189">
        <f t="shared" si="21"/>
        <v>9</v>
      </c>
      <c r="I103" s="189">
        <f t="shared" si="21"/>
        <v>120</v>
      </c>
      <c r="J103" s="189">
        <f t="shared" si="21"/>
        <v>199</v>
      </c>
      <c r="K103" s="191">
        <f t="shared" si="21"/>
        <v>48.53</v>
      </c>
      <c r="L103" s="47">
        <f t="shared" si="14"/>
        <v>1.80376304</v>
      </c>
      <c r="M103" s="186">
        <f t="shared" si="22"/>
        <v>111.80275012888187</v>
      </c>
      <c r="N103" s="41">
        <v>7</v>
      </c>
      <c r="O103" s="191">
        <f t="shared" si="23"/>
        <v>3.74</v>
      </c>
      <c r="P103" s="191">
        <f t="shared" si="24"/>
        <v>69.099999999999994</v>
      </c>
      <c r="Q103" s="48">
        <f t="shared" si="15"/>
        <v>28.666666666666668</v>
      </c>
    </row>
    <row r="104" spans="1:18" s="83" customFormat="1" ht="12.75" x14ac:dyDescent="0.2">
      <c r="A104" s="56">
        <v>18</v>
      </c>
      <c r="B104" s="171" t="s">
        <v>51</v>
      </c>
      <c r="C104" s="188">
        <f t="shared" si="19"/>
        <v>4.5199999999999996</v>
      </c>
      <c r="D104" s="186">
        <f t="shared" si="20"/>
        <v>123.878040424803</v>
      </c>
      <c r="E104" s="41">
        <v>14</v>
      </c>
      <c r="F104" s="48">
        <f>SUM(F26+F54+F79)/3</f>
        <v>8</v>
      </c>
      <c r="G104" s="48">
        <f>(G26+G54+G79)/3</f>
        <v>85.666666666666671</v>
      </c>
      <c r="H104" s="189">
        <f t="shared" si="21"/>
        <v>9</v>
      </c>
      <c r="I104" s="189">
        <f t="shared" si="21"/>
        <v>115.5</v>
      </c>
      <c r="J104" s="189">
        <f t="shared" si="21"/>
        <v>199</v>
      </c>
      <c r="K104" s="191">
        <f t="shared" si="21"/>
        <v>48.445</v>
      </c>
      <c r="L104" s="47">
        <f t="shared" si="14"/>
        <v>2.0145368799999996</v>
      </c>
      <c r="M104" s="186">
        <f t="shared" si="22"/>
        <v>124.86715739560626</v>
      </c>
      <c r="N104" s="41">
        <v>7</v>
      </c>
      <c r="O104" s="191">
        <f t="shared" si="23"/>
        <v>3.35</v>
      </c>
      <c r="P104" s="191">
        <f t="shared" si="24"/>
        <v>68.10499999999999</v>
      </c>
      <c r="Q104" s="48">
        <f t="shared" si="15"/>
        <v>29</v>
      </c>
    </row>
    <row r="105" spans="1:18" s="83" customFormat="1" ht="12.75" x14ac:dyDescent="0.2">
      <c r="A105" s="56">
        <v>19</v>
      </c>
      <c r="B105" s="171" t="s">
        <v>484</v>
      </c>
      <c r="C105" s="188">
        <f t="shared" si="19"/>
        <v>4.1050000000000004</v>
      </c>
      <c r="D105" s="186">
        <f t="shared" si="20"/>
        <v>112.50428228845497</v>
      </c>
      <c r="E105" s="41">
        <v>12</v>
      </c>
      <c r="F105" s="48">
        <f>SUM(F27+F55+F80)/3</f>
        <v>7.333333333333333</v>
      </c>
      <c r="G105" s="48">
        <f>(G27+G55+G80)/3</f>
        <v>77.666666666666671</v>
      </c>
      <c r="H105" s="189">
        <f t="shared" si="21"/>
        <v>9</v>
      </c>
      <c r="I105" s="189">
        <f t="shared" si="21"/>
        <v>105.5</v>
      </c>
      <c r="J105" s="189">
        <f t="shared" si="21"/>
        <v>199</v>
      </c>
      <c r="K105" s="191">
        <f t="shared" si="21"/>
        <v>47.72</v>
      </c>
      <c r="L105" s="47">
        <f t="shared" si="14"/>
        <v>1.8021935200000001</v>
      </c>
      <c r="M105" s="186">
        <f t="shared" si="22"/>
        <v>111.70546647881757</v>
      </c>
      <c r="N105" s="41">
        <v>6</v>
      </c>
      <c r="O105" s="191">
        <f t="shared" si="23"/>
        <v>3.67</v>
      </c>
      <c r="P105" s="191">
        <f t="shared" si="24"/>
        <v>68.814999999999998</v>
      </c>
      <c r="Q105" s="48">
        <f t="shared" si="15"/>
        <v>25.333333333333332</v>
      </c>
    </row>
    <row r="106" spans="1:18" s="198" customFormat="1" ht="12.75" x14ac:dyDescent="0.2">
      <c r="A106" s="179">
        <v>20</v>
      </c>
      <c r="B106" s="171" t="s">
        <v>196</v>
      </c>
      <c r="C106" s="188">
        <f t="shared" si="19"/>
        <v>3.4</v>
      </c>
      <c r="D106" s="186">
        <f t="shared" si="20"/>
        <v>93.182596779719091</v>
      </c>
      <c r="E106" s="190">
        <v>8</v>
      </c>
      <c r="F106" s="189">
        <f>SUM(F31+F56+F81)/3</f>
        <v>8</v>
      </c>
      <c r="G106" s="189">
        <f>(G31+G56+G81)/3</f>
        <v>88</v>
      </c>
      <c r="H106" s="189">
        <f t="shared" si="21"/>
        <v>9</v>
      </c>
      <c r="I106" s="189">
        <f t="shared" si="21"/>
        <v>110</v>
      </c>
      <c r="J106" s="189">
        <f t="shared" si="21"/>
        <v>199</v>
      </c>
      <c r="K106" s="191">
        <f t="shared" si="21"/>
        <v>47.445</v>
      </c>
      <c r="L106" s="188">
        <f t="shared" si="14"/>
        <v>1.4840796000000001</v>
      </c>
      <c r="M106" s="186">
        <f t="shared" si="22"/>
        <v>91.987792748082327</v>
      </c>
      <c r="N106" s="190">
        <v>4</v>
      </c>
      <c r="O106" s="191">
        <f t="shared" si="23"/>
        <v>3.895</v>
      </c>
      <c r="P106" s="191">
        <f t="shared" si="24"/>
        <v>68.760000000000005</v>
      </c>
      <c r="Q106" s="189">
        <f t="shared" si="15"/>
        <v>20</v>
      </c>
      <c r="R106" s="198" t="s">
        <v>197</v>
      </c>
    </row>
    <row r="107" spans="1:18" s="83" customFormat="1" ht="12.75" x14ac:dyDescent="0.2">
      <c r="A107" s="56">
        <v>21</v>
      </c>
      <c r="B107" s="170" t="s">
        <v>485</v>
      </c>
      <c r="C107" s="188">
        <f t="shared" si="19"/>
        <v>4.37</v>
      </c>
      <c r="D107" s="186">
        <f t="shared" si="20"/>
        <v>119.7670435080507</v>
      </c>
      <c r="E107" s="41">
        <v>14</v>
      </c>
      <c r="F107" s="48">
        <f>SUM(F32+F57+F82)/3</f>
        <v>7.333333333333333</v>
      </c>
      <c r="G107" s="48">
        <f>(G32+G57+G82)/3</f>
        <v>79.333333333333329</v>
      </c>
      <c r="H107" s="189">
        <f t="shared" si="21"/>
        <v>9</v>
      </c>
      <c r="I107" s="189">
        <f t="shared" si="21"/>
        <v>111.5</v>
      </c>
      <c r="J107" s="189">
        <f t="shared" si="21"/>
        <v>199</v>
      </c>
      <c r="K107" s="191">
        <f t="shared" si="21"/>
        <v>47.49</v>
      </c>
      <c r="L107" s="47">
        <f t="shared" si="14"/>
        <v>1.9092879600000003</v>
      </c>
      <c r="M107" s="186">
        <f t="shared" si="22"/>
        <v>118.34350742432477</v>
      </c>
      <c r="N107" s="41">
        <v>7</v>
      </c>
      <c r="O107" s="191">
        <f t="shared" si="23"/>
        <v>4.29</v>
      </c>
      <c r="P107" s="191">
        <f t="shared" si="24"/>
        <v>68.324999999999989</v>
      </c>
      <c r="Q107" s="48">
        <f t="shared" si="15"/>
        <v>28.333333333333332</v>
      </c>
    </row>
    <row r="108" spans="1:18" s="83" customFormat="1" ht="12.75" x14ac:dyDescent="0.2">
      <c r="A108" s="56">
        <v>22</v>
      </c>
      <c r="B108" s="171" t="s">
        <v>486</v>
      </c>
      <c r="C108" s="188">
        <f t="shared" si="19"/>
        <v>3.645</v>
      </c>
      <c r="D108" s="186">
        <f t="shared" si="20"/>
        <v>99.897225077081202</v>
      </c>
      <c r="E108" s="41">
        <v>10</v>
      </c>
      <c r="F108" s="48">
        <f>SUM(F33+F58+F83)/3</f>
        <v>8</v>
      </c>
      <c r="G108" s="48">
        <f>(G33+G58+G83)/3</f>
        <v>88.666666666666671</v>
      </c>
      <c r="H108" s="189">
        <f t="shared" si="21"/>
        <v>9</v>
      </c>
      <c r="I108" s="189">
        <f t="shared" si="21"/>
        <v>103.5</v>
      </c>
      <c r="J108" s="189">
        <f t="shared" si="21"/>
        <v>199</v>
      </c>
      <c r="K108" s="191">
        <f t="shared" si="21"/>
        <v>46.72</v>
      </c>
      <c r="L108" s="47">
        <f t="shared" si="14"/>
        <v>1.5667084799999997</v>
      </c>
      <c r="M108" s="186">
        <f t="shared" si="22"/>
        <v>97.109383455512145</v>
      </c>
      <c r="N108" s="41">
        <v>4</v>
      </c>
      <c r="O108" s="191">
        <f t="shared" si="23"/>
        <v>4.0049999999999999</v>
      </c>
      <c r="P108" s="191">
        <f t="shared" si="24"/>
        <v>69.594999999999999</v>
      </c>
      <c r="Q108" s="48">
        <f t="shared" si="15"/>
        <v>22</v>
      </c>
    </row>
    <row r="109" spans="1:18" s="83" customFormat="1" ht="12.75" x14ac:dyDescent="0.2">
      <c r="A109" s="332"/>
      <c r="B109" s="333"/>
      <c r="C109" s="314"/>
      <c r="D109" s="331"/>
      <c r="E109" s="319"/>
      <c r="F109" s="315"/>
      <c r="G109" s="315"/>
      <c r="H109" s="315"/>
      <c r="I109" s="315"/>
      <c r="J109" s="315"/>
      <c r="K109" s="318"/>
      <c r="L109" s="314"/>
      <c r="M109" s="331"/>
      <c r="N109" s="319"/>
      <c r="O109" s="318"/>
      <c r="P109" s="318"/>
      <c r="Q109" s="315"/>
    </row>
    <row r="110" spans="1:18" x14ac:dyDescent="0.25">
      <c r="A110" s="334"/>
      <c r="B110" s="335" t="s">
        <v>595</v>
      </c>
    </row>
    <row r="111" spans="1:18" s="298" customFormat="1" x14ac:dyDescent="0.25">
      <c r="B111" s="330"/>
    </row>
    <row r="112" spans="1:18" x14ac:dyDescent="0.25">
      <c r="B112" s="367" t="s">
        <v>104</v>
      </c>
      <c r="C112" s="367"/>
      <c r="D112" s="367"/>
      <c r="E112" s="367"/>
      <c r="F112" s="367"/>
      <c r="G112" s="367"/>
      <c r="H112" s="367"/>
      <c r="I112" s="367"/>
    </row>
    <row r="113" spans="2:9" x14ac:dyDescent="0.25">
      <c r="B113" s="123" t="s">
        <v>307</v>
      </c>
      <c r="C113" s="363" t="s">
        <v>134</v>
      </c>
      <c r="D113" s="364"/>
      <c r="E113" s="363" t="s">
        <v>145</v>
      </c>
      <c r="F113" s="364"/>
      <c r="G113" s="163"/>
      <c r="H113" s="357" t="s">
        <v>105</v>
      </c>
      <c r="I113" s="364"/>
    </row>
    <row r="114" spans="2:9" x14ac:dyDescent="0.25">
      <c r="B114" s="124" t="s">
        <v>106</v>
      </c>
      <c r="C114" s="368"/>
      <c r="D114" s="369"/>
      <c r="E114" s="369"/>
      <c r="F114" s="369"/>
      <c r="G114" s="369"/>
      <c r="H114" s="369"/>
      <c r="I114" s="370"/>
    </row>
    <row r="115" spans="2:9" s="87" customFormat="1" x14ac:dyDescent="0.25">
      <c r="B115" s="124" t="s">
        <v>156</v>
      </c>
      <c r="C115" s="363" t="s">
        <v>493</v>
      </c>
      <c r="D115" s="357"/>
      <c r="E115" s="356" t="s">
        <v>503</v>
      </c>
      <c r="F115" s="356"/>
      <c r="G115" s="163"/>
      <c r="H115" s="356" t="s">
        <v>622</v>
      </c>
      <c r="I115" s="362"/>
    </row>
    <row r="116" spans="2:9" x14ac:dyDescent="0.25">
      <c r="B116" s="124" t="s">
        <v>107</v>
      </c>
      <c r="C116" s="363">
        <v>2.1</v>
      </c>
      <c r="D116" s="364"/>
      <c r="E116" s="361" t="s">
        <v>200</v>
      </c>
      <c r="F116" s="362"/>
      <c r="G116" s="163"/>
      <c r="H116" s="361">
        <v>3.3</v>
      </c>
      <c r="I116" s="362"/>
    </row>
    <row r="117" spans="2:9" x14ac:dyDescent="0.25">
      <c r="B117" s="124" t="s">
        <v>108</v>
      </c>
      <c r="C117" s="363">
        <v>7</v>
      </c>
      <c r="D117" s="364"/>
      <c r="E117" s="361" t="s">
        <v>504</v>
      </c>
      <c r="F117" s="362"/>
      <c r="G117" s="163"/>
      <c r="H117" s="361">
        <v>5.9</v>
      </c>
      <c r="I117" s="362"/>
    </row>
    <row r="118" spans="2:9" x14ac:dyDescent="0.25">
      <c r="B118" s="124" t="s">
        <v>109</v>
      </c>
      <c r="C118" s="363">
        <v>119</v>
      </c>
      <c r="D118" s="364"/>
      <c r="E118" s="361" t="s">
        <v>198</v>
      </c>
      <c r="F118" s="362"/>
      <c r="G118" s="163"/>
      <c r="H118" s="389">
        <v>85</v>
      </c>
      <c r="I118" s="390"/>
    </row>
    <row r="119" spans="2:9" x14ac:dyDescent="0.25">
      <c r="B119" s="124" t="s">
        <v>110</v>
      </c>
      <c r="C119" s="363">
        <v>250</v>
      </c>
      <c r="D119" s="364"/>
      <c r="E119" s="361" t="s">
        <v>505</v>
      </c>
      <c r="F119" s="362"/>
      <c r="G119" s="163"/>
      <c r="H119" s="361">
        <v>163</v>
      </c>
      <c r="I119" s="362"/>
    </row>
    <row r="120" spans="2:9" s="87" customFormat="1" x14ac:dyDescent="0.25">
      <c r="B120" s="124" t="s">
        <v>119</v>
      </c>
      <c r="C120" s="363" t="s">
        <v>173</v>
      </c>
      <c r="D120" s="357"/>
      <c r="E120" s="356" t="s">
        <v>506</v>
      </c>
      <c r="F120" s="362"/>
      <c r="G120" s="163"/>
      <c r="H120" s="361" t="s">
        <v>173</v>
      </c>
      <c r="I120" s="362"/>
    </row>
    <row r="121" spans="2:9" x14ac:dyDescent="0.25">
      <c r="B121" s="124" t="s">
        <v>140</v>
      </c>
      <c r="C121" s="382" t="s">
        <v>494</v>
      </c>
      <c r="D121" s="383"/>
      <c r="E121" s="356" t="s">
        <v>243</v>
      </c>
      <c r="F121" s="362"/>
      <c r="G121" s="163"/>
      <c r="H121" s="356" t="s">
        <v>243</v>
      </c>
      <c r="I121" s="362"/>
    </row>
    <row r="122" spans="2:9" x14ac:dyDescent="0.25">
      <c r="B122" s="124" t="s">
        <v>111</v>
      </c>
      <c r="C122" s="353" t="s">
        <v>495</v>
      </c>
      <c r="D122" s="353"/>
      <c r="E122" s="358" t="s">
        <v>246</v>
      </c>
      <c r="F122" s="358"/>
      <c r="G122" s="164"/>
      <c r="H122" s="358" t="s">
        <v>237</v>
      </c>
      <c r="I122" s="358"/>
    </row>
    <row r="123" spans="2:9" x14ac:dyDescent="0.25">
      <c r="B123" s="123" t="s">
        <v>142</v>
      </c>
      <c r="C123" s="357" t="s">
        <v>377</v>
      </c>
      <c r="D123" s="364"/>
      <c r="E123" s="377" t="s">
        <v>322</v>
      </c>
      <c r="F123" s="358"/>
      <c r="G123" s="164"/>
      <c r="H123" s="358" t="s">
        <v>623</v>
      </c>
      <c r="I123" s="358"/>
    </row>
    <row r="124" spans="2:9" x14ac:dyDescent="0.25">
      <c r="B124" s="123" t="s">
        <v>143</v>
      </c>
      <c r="C124" s="357" t="s">
        <v>311</v>
      </c>
      <c r="D124" s="364"/>
      <c r="E124" s="358" t="s">
        <v>323</v>
      </c>
      <c r="F124" s="358"/>
      <c r="G124" s="164"/>
      <c r="H124" s="358" t="s">
        <v>533</v>
      </c>
      <c r="I124" s="358"/>
    </row>
    <row r="125" spans="2:9" x14ac:dyDescent="0.25">
      <c r="B125" s="123" t="s">
        <v>112</v>
      </c>
      <c r="C125" s="357" t="s">
        <v>496</v>
      </c>
      <c r="D125" s="364"/>
      <c r="E125" s="358" t="s">
        <v>507</v>
      </c>
      <c r="F125" s="358"/>
      <c r="G125" s="164"/>
      <c r="H125" s="358" t="s">
        <v>507</v>
      </c>
      <c r="I125" s="358"/>
    </row>
    <row r="126" spans="2:9" x14ac:dyDescent="0.25">
      <c r="B126" s="124" t="s">
        <v>113</v>
      </c>
      <c r="C126" s="359"/>
      <c r="D126" s="359"/>
      <c r="E126" s="359"/>
      <c r="F126" s="359"/>
      <c r="G126" s="359"/>
      <c r="H126" s="359"/>
      <c r="I126" s="359"/>
    </row>
    <row r="127" spans="2:9" x14ac:dyDescent="0.25">
      <c r="B127" s="124" t="s">
        <v>114</v>
      </c>
      <c r="C127" s="125" t="s">
        <v>237</v>
      </c>
      <c r="D127" s="322" t="s">
        <v>497</v>
      </c>
      <c r="E127" s="211" t="s">
        <v>242</v>
      </c>
      <c r="F127" s="309" t="s">
        <v>508</v>
      </c>
      <c r="G127" s="176"/>
      <c r="H127" s="211" t="s">
        <v>253</v>
      </c>
      <c r="I127" s="177" t="s">
        <v>273</v>
      </c>
    </row>
    <row r="128" spans="2:9" x14ac:dyDescent="0.25">
      <c r="B128" s="124" t="s">
        <v>138</v>
      </c>
      <c r="C128" s="124"/>
      <c r="D128" s="148"/>
      <c r="E128" s="211"/>
      <c r="F128" s="220"/>
      <c r="G128" s="176"/>
      <c r="H128" s="211" t="s">
        <v>389</v>
      </c>
      <c r="I128" s="177" t="s">
        <v>269</v>
      </c>
    </row>
    <row r="129" spans="2:9" x14ac:dyDescent="0.25">
      <c r="B129" s="124" t="s">
        <v>247</v>
      </c>
      <c r="C129" s="124"/>
      <c r="D129" s="199"/>
      <c r="E129" s="211" t="s">
        <v>323</v>
      </c>
      <c r="F129" s="309" t="s">
        <v>509</v>
      </c>
      <c r="G129" s="176"/>
      <c r="H129" s="211" t="s">
        <v>390</v>
      </c>
      <c r="I129" s="177" t="s">
        <v>590</v>
      </c>
    </row>
    <row r="130" spans="2:9" x14ac:dyDescent="0.25">
      <c r="B130" s="124" t="s">
        <v>138</v>
      </c>
      <c r="C130" s="124"/>
      <c r="D130" s="199"/>
      <c r="E130" s="211" t="s">
        <v>510</v>
      </c>
      <c r="F130" s="309" t="s">
        <v>511</v>
      </c>
      <c r="G130" s="176"/>
      <c r="H130" s="211"/>
      <c r="I130" s="177"/>
    </row>
    <row r="131" spans="2:9" s="87" customFormat="1" x14ac:dyDescent="0.25">
      <c r="B131" s="124"/>
      <c r="C131" s="124"/>
      <c r="D131" s="146"/>
      <c r="E131" s="211"/>
      <c r="F131" s="309"/>
      <c r="G131" s="176"/>
      <c r="H131" s="201"/>
      <c r="I131" s="201"/>
    </row>
    <row r="132" spans="2:9" s="87" customFormat="1" x14ac:dyDescent="0.25">
      <c r="B132" s="124" t="s">
        <v>244</v>
      </c>
      <c r="C132" s="124"/>
      <c r="D132" s="207"/>
      <c r="E132" s="201"/>
      <c r="F132" s="311"/>
      <c r="G132" s="210"/>
      <c r="H132" s="211"/>
      <c r="I132" s="211"/>
    </row>
    <row r="133" spans="2:9" s="87" customFormat="1" x14ac:dyDescent="0.25">
      <c r="B133" s="124"/>
      <c r="C133" s="124"/>
      <c r="D133" s="207"/>
      <c r="E133" s="201"/>
      <c r="F133" s="311"/>
      <c r="G133" s="210"/>
      <c r="H133" s="201"/>
      <c r="I133" s="201"/>
    </row>
    <row r="134" spans="2:9" s="87" customFormat="1" x14ac:dyDescent="0.25">
      <c r="B134" s="124"/>
      <c r="C134" s="124"/>
      <c r="D134" s="207"/>
      <c r="E134" s="201"/>
      <c r="F134" s="210"/>
      <c r="G134" s="210"/>
      <c r="H134" s="201"/>
      <c r="I134" s="201"/>
    </row>
    <row r="135" spans="2:9" x14ac:dyDescent="0.25">
      <c r="B135" s="124" t="s">
        <v>115</v>
      </c>
      <c r="C135" s="353"/>
      <c r="D135" s="353"/>
      <c r="E135" s="353"/>
      <c r="F135" s="353"/>
      <c r="G135" s="353"/>
      <c r="H135" s="353"/>
      <c r="I135" s="353"/>
    </row>
    <row r="136" spans="2:9" x14ac:dyDescent="0.25">
      <c r="B136" s="124" t="s">
        <v>116</v>
      </c>
      <c r="C136" s="124"/>
      <c r="D136" s="124"/>
      <c r="E136" s="211" t="s">
        <v>237</v>
      </c>
      <c r="F136" s="211" t="s">
        <v>571</v>
      </c>
      <c r="G136" s="201"/>
      <c r="H136" s="211" t="s">
        <v>587</v>
      </c>
      <c r="I136" s="211" t="s">
        <v>588</v>
      </c>
    </row>
    <row r="137" spans="2:9" s="87" customFormat="1" x14ac:dyDescent="0.25">
      <c r="B137" s="127"/>
      <c r="C137" s="124"/>
      <c r="D137" s="124"/>
      <c r="E137" s="201"/>
      <c r="F137" s="201"/>
      <c r="G137" s="201"/>
      <c r="H137" s="211"/>
      <c r="I137" s="211"/>
    </row>
    <row r="138" spans="2:9" x14ac:dyDescent="0.25">
      <c r="B138" s="124" t="s">
        <v>157</v>
      </c>
      <c r="C138" s="124" t="s">
        <v>499</v>
      </c>
      <c r="D138" s="124" t="s">
        <v>500</v>
      </c>
      <c r="E138" s="211" t="s">
        <v>357</v>
      </c>
      <c r="F138" s="211" t="s">
        <v>512</v>
      </c>
      <c r="G138" s="201"/>
      <c r="H138" s="211" t="s">
        <v>532</v>
      </c>
      <c r="I138" s="211" t="s">
        <v>589</v>
      </c>
    </row>
    <row r="139" spans="2:9" s="87" customFormat="1" x14ac:dyDescent="0.25">
      <c r="B139" s="124"/>
      <c r="C139" s="124"/>
      <c r="D139" s="124"/>
      <c r="E139" s="211" t="s">
        <v>513</v>
      </c>
      <c r="F139" s="211" t="s">
        <v>514</v>
      </c>
      <c r="G139" s="201"/>
      <c r="H139" s="211"/>
      <c r="I139" s="211"/>
    </row>
    <row r="140" spans="2:9" s="87" customFormat="1" x14ac:dyDescent="0.25">
      <c r="B140" s="124"/>
      <c r="C140" s="124"/>
      <c r="D140" s="124"/>
      <c r="E140" s="211"/>
      <c r="F140" s="211"/>
      <c r="G140" s="201"/>
      <c r="H140" s="201"/>
      <c r="I140" s="201"/>
    </row>
    <row r="141" spans="2:9" x14ac:dyDescent="0.25">
      <c r="B141" s="124" t="s">
        <v>117</v>
      </c>
      <c r="C141" s="124"/>
      <c r="D141" s="124"/>
      <c r="E141" s="211" t="s">
        <v>357</v>
      </c>
      <c r="F141" s="211" t="s">
        <v>517</v>
      </c>
      <c r="G141" s="201"/>
      <c r="H141" s="211" t="s">
        <v>394</v>
      </c>
      <c r="I141" s="211" t="s">
        <v>159</v>
      </c>
    </row>
    <row r="142" spans="2:9" s="87" customFormat="1" x14ac:dyDescent="0.25">
      <c r="B142" s="124"/>
      <c r="C142" s="124"/>
      <c r="D142" s="124"/>
      <c r="E142" s="211" t="s">
        <v>513</v>
      </c>
      <c r="F142" s="211" t="s">
        <v>158</v>
      </c>
      <c r="G142" s="201"/>
      <c r="H142" s="211"/>
      <c r="I142" s="211"/>
    </row>
    <row r="143" spans="2:9" s="87" customFormat="1" x14ac:dyDescent="0.25">
      <c r="B143" s="124"/>
      <c r="C143" s="124"/>
      <c r="D143" s="124"/>
      <c r="E143" s="211" t="s">
        <v>518</v>
      </c>
      <c r="F143" s="211" t="s">
        <v>519</v>
      </c>
      <c r="G143" s="201"/>
      <c r="H143" s="211"/>
      <c r="I143" s="211"/>
    </row>
    <row r="144" spans="2:9" s="87" customFormat="1" x14ac:dyDescent="0.25">
      <c r="B144" s="124"/>
      <c r="C144" s="124"/>
      <c r="D144" s="124"/>
      <c r="E144" s="211" t="s">
        <v>515</v>
      </c>
      <c r="F144" s="211" t="s">
        <v>158</v>
      </c>
      <c r="G144" s="201"/>
      <c r="H144" s="201"/>
      <c r="I144" s="201"/>
    </row>
    <row r="145" spans="2:9" x14ac:dyDescent="0.25">
      <c r="B145" s="124" t="s">
        <v>123</v>
      </c>
      <c r="C145" s="124"/>
      <c r="D145" s="124"/>
      <c r="E145" s="211" t="s">
        <v>515</v>
      </c>
      <c r="F145" s="211" t="s">
        <v>516</v>
      </c>
      <c r="G145" s="201"/>
      <c r="H145" s="201"/>
      <c r="I145" s="201"/>
    </row>
    <row r="146" spans="2:9" s="87" customFormat="1" x14ac:dyDescent="0.25">
      <c r="B146" s="124"/>
      <c r="C146" s="124"/>
      <c r="D146" s="124"/>
      <c r="E146" s="298"/>
      <c r="F146" s="298"/>
      <c r="G146" s="201"/>
      <c r="H146" s="201"/>
      <c r="I146" s="201"/>
    </row>
    <row r="147" spans="2:9" x14ac:dyDescent="0.25">
      <c r="B147" s="124"/>
      <c r="C147" s="124"/>
      <c r="D147" s="124"/>
      <c r="E147" s="211"/>
      <c r="F147" s="211"/>
      <c r="G147" s="201"/>
      <c r="H147" s="201"/>
      <c r="I147" s="201"/>
    </row>
    <row r="148" spans="2:9" x14ac:dyDescent="0.25">
      <c r="B148" s="124" t="s">
        <v>144</v>
      </c>
      <c r="C148" s="124"/>
      <c r="D148" s="124"/>
      <c r="E148" s="211" t="s">
        <v>357</v>
      </c>
      <c r="F148" s="211" t="s">
        <v>520</v>
      </c>
      <c r="G148" s="201"/>
      <c r="H148" s="211" t="s">
        <v>394</v>
      </c>
      <c r="I148" s="211" t="s">
        <v>591</v>
      </c>
    </row>
    <row r="149" spans="2:9" x14ac:dyDescent="0.25">
      <c r="B149" s="124"/>
      <c r="C149" s="124"/>
      <c r="D149" s="124"/>
      <c r="E149" s="211" t="s">
        <v>513</v>
      </c>
      <c r="F149" s="211" t="s">
        <v>190</v>
      </c>
      <c r="G149" s="201"/>
      <c r="H149" s="211"/>
      <c r="I149" s="211" t="s">
        <v>592</v>
      </c>
    </row>
    <row r="150" spans="2:9" x14ac:dyDescent="0.25">
      <c r="B150" s="127"/>
      <c r="C150" s="124"/>
      <c r="D150" s="124"/>
      <c r="E150" s="211" t="s">
        <v>513</v>
      </c>
      <c r="F150" s="211" t="s">
        <v>201</v>
      </c>
      <c r="G150" s="201"/>
      <c r="H150" s="201"/>
      <c r="I150" s="201"/>
    </row>
    <row r="151" spans="2:9" x14ac:dyDescent="0.25">
      <c r="B151" s="113"/>
      <c r="C151" s="113"/>
      <c r="D151" s="113"/>
      <c r="E151" s="227" t="s">
        <v>518</v>
      </c>
      <c r="F151" s="226" t="s">
        <v>521</v>
      </c>
      <c r="G151" s="113"/>
      <c r="H151" s="113"/>
      <c r="I151" s="113"/>
    </row>
    <row r="152" spans="2:9" x14ac:dyDescent="0.25">
      <c r="B152" s="113"/>
      <c r="C152" s="113"/>
      <c r="D152" s="113"/>
      <c r="E152" s="228"/>
      <c r="F152" s="226"/>
      <c r="G152" s="113"/>
      <c r="H152" s="113"/>
      <c r="I152" s="113"/>
    </row>
    <row r="153" spans="2:9" s="87" customFormat="1" x14ac:dyDescent="0.25">
      <c r="B153" s="113"/>
      <c r="C153" s="113"/>
      <c r="D153" s="113"/>
      <c r="E153" s="221"/>
      <c r="F153" s="221"/>
      <c r="G153" s="113"/>
      <c r="H153" s="113"/>
      <c r="I153" s="113"/>
    </row>
    <row r="154" spans="2:9" x14ac:dyDescent="0.25">
      <c r="B154" s="113" t="s">
        <v>202</v>
      </c>
      <c r="C154" s="113"/>
      <c r="D154" s="113"/>
      <c r="E154" s="227" t="s">
        <v>522</v>
      </c>
      <c r="F154" s="227" t="s">
        <v>523</v>
      </c>
      <c r="G154" s="113"/>
      <c r="H154" s="113"/>
      <c r="I154" s="113"/>
    </row>
  </sheetData>
  <protectedRanges>
    <protectedRange sqref="B12:B26 B37:B51 B62:B76 B87:B101" name="Range3_7"/>
    <protectedRange sqref="B27:B33 B52:B58 B77:B83 B102:B109" name="Range3_8"/>
  </protectedRanges>
  <mergeCells count="45">
    <mergeCell ref="A7:A8"/>
    <mergeCell ref="C117:D117"/>
    <mergeCell ref="E117:F117"/>
    <mergeCell ref="B7:B8"/>
    <mergeCell ref="Q7:Q8"/>
    <mergeCell ref="L7:N7"/>
    <mergeCell ref="C7:E7"/>
    <mergeCell ref="B112:I112"/>
    <mergeCell ref="C113:D113"/>
    <mergeCell ref="E113:F113"/>
    <mergeCell ref="H113:I113"/>
    <mergeCell ref="C114:I114"/>
    <mergeCell ref="H115:I115"/>
    <mergeCell ref="H117:I117"/>
    <mergeCell ref="C115:D115"/>
    <mergeCell ref="E115:F115"/>
    <mergeCell ref="C121:D121"/>
    <mergeCell ref="E121:F121"/>
    <mergeCell ref="H121:I121"/>
    <mergeCell ref="C122:D122"/>
    <mergeCell ref="E122:F122"/>
    <mergeCell ref="H122:I122"/>
    <mergeCell ref="C126:I126"/>
    <mergeCell ref="C135:I135"/>
    <mergeCell ref="C123:D123"/>
    <mergeCell ref="C124:D124"/>
    <mergeCell ref="C125:D125"/>
    <mergeCell ref="E123:F123"/>
    <mergeCell ref="H123:I123"/>
    <mergeCell ref="E124:F124"/>
    <mergeCell ref="H124:I124"/>
    <mergeCell ref="E125:F125"/>
    <mergeCell ref="H125:I125"/>
    <mergeCell ref="C116:D116"/>
    <mergeCell ref="E116:F116"/>
    <mergeCell ref="H116:I116"/>
    <mergeCell ref="C120:D120"/>
    <mergeCell ref="E120:F120"/>
    <mergeCell ref="H120:I120"/>
    <mergeCell ref="C118:D118"/>
    <mergeCell ref="E118:F118"/>
    <mergeCell ref="H118:I118"/>
    <mergeCell ref="C119:D119"/>
    <mergeCell ref="E119:F119"/>
    <mergeCell ref="H119:I1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80"/>
  <sheetViews>
    <sheetView workbookViewId="0">
      <selection activeCell="O50" sqref="O50"/>
    </sheetView>
  </sheetViews>
  <sheetFormatPr defaultColWidth="8.85546875" defaultRowHeight="15" x14ac:dyDescent="0.25"/>
  <cols>
    <col min="1" max="1" width="4" style="61" customWidth="1"/>
    <col min="2" max="2" width="36.28515625" style="61" customWidth="1"/>
    <col min="3" max="3" width="12.28515625" style="61" customWidth="1"/>
    <col min="4" max="4" width="22.7109375" style="61" customWidth="1"/>
    <col min="5" max="5" width="12.140625" style="61" customWidth="1"/>
    <col min="6" max="6" width="23.7109375" style="61" customWidth="1"/>
    <col min="7" max="7" width="21.85546875" style="87" customWidth="1"/>
    <col min="8" max="8" width="13" style="61" customWidth="1"/>
    <col min="9" max="9" width="22.28515625" style="61" customWidth="1"/>
    <col min="10" max="16384" width="8.85546875" style="61"/>
  </cols>
  <sheetData>
    <row r="2" spans="1:17" x14ac:dyDescent="0.25">
      <c r="B2" s="81" t="s">
        <v>488</v>
      </c>
    </row>
    <row r="3" spans="1:17" x14ac:dyDescent="0.25">
      <c r="B3" s="76" t="s">
        <v>489</v>
      </c>
    </row>
    <row r="5" spans="1:17" ht="15.75" x14ac:dyDescent="0.25">
      <c r="A5" s="75" t="s">
        <v>44</v>
      </c>
    </row>
    <row r="7" spans="1:17" ht="165.75" x14ac:dyDescent="0.25">
      <c r="A7" s="372" t="s">
        <v>1</v>
      </c>
      <c r="B7" s="372" t="s">
        <v>2</v>
      </c>
      <c r="C7" s="372" t="s">
        <v>45</v>
      </c>
      <c r="D7" s="372"/>
      <c r="E7" s="372"/>
      <c r="F7" s="78" t="s">
        <v>4</v>
      </c>
      <c r="G7" s="234" t="s">
        <v>298</v>
      </c>
      <c r="H7" s="78" t="s">
        <v>5</v>
      </c>
      <c r="I7" s="78" t="s">
        <v>28</v>
      </c>
      <c r="J7" s="78" t="s">
        <v>7</v>
      </c>
      <c r="K7" s="78" t="s">
        <v>46</v>
      </c>
      <c r="L7" s="398" t="s">
        <v>47</v>
      </c>
      <c r="M7" s="398"/>
      <c r="N7" s="398"/>
      <c r="O7" s="78" t="s">
        <v>48</v>
      </c>
      <c r="P7" s="82" t="s">
        <v>8</v>
      </c>
      <c r="Q7" s="371" t="s">
        <v>13</v>
      </c>
    </row>
    <row r="8" spans="1:17" ht="76.5" x14ac:dyDescent="0.25">
      <c r="A8" s="372"/>
      <c r="B8" s="372"/>
      <c r="C8" s="78" t="s">
        <v>14</v>
      </c>
      <c r="D8" s="78" t="s">
        <v>15</v>
      </c>
      <c r="E8" s="78" t="s">
        <v>16</v>
      </c>
      <c r="F8" s="78" t="s">
        <v>17</v>
      </c>
      <c r="G8" s="167" t="s">
        <v>21</v>
      </c>
      <c r="H8" s="78" t="s">
        <v>16</v>
      </c>
      <c r="I8" s="78" t="s">
        <v>18</v>
      </c>
      <c r="J8" s="78" t="s">
        <v>19</v>
      </c>
      <c r="K8" s="78" t="s">
        <v>21</v>
      </c>
      <c r="L8" s="78" t="s">
        <v>49</v>
      </c>
      <c r="M8" s="79" t="s">
        <v>15</v>
      </c>
      <c r="N8" s="79" t="s">
        <v>16</v>
      </c>
      <c r="O8" s="79" t="s">
        <v>22</v>
      </c>
      <c r="P8" s="78" t="s">
        <v>58</v>
      </c>
      <c r="Q8" s="371"/>
    </row>
    <row r="9" spans="1:17" x14ac:dyDescent="0.25">
      <c r="A9" s="77"/>
      <c r="B9" s="77"/>
      <c r="C9" s="77"/>
      <c r="D9" s="77"/>
      <c r="E9" s="77"/>
      <c r="F9" s="77"/>
      <c r="G9" s="101"/>
      <c r="H9" s="77"/>
      <c r="I9" s="77"/>
      <c r="J9" s="77"/>
      <c r="K9" s="77"/>
      <c r="L9" s="77"/>
      <c r="M9" s="80"/>
      <c r="N9" s="80"/>
      <c r="O9" s="80"/>
      <c r="P9" s="77"/>
      <c r="Q9" s="38"/>
    </row>
    <row r="10" spans="1:17" s="83" customFormat="1" ht="12.75" x14ac:dyDescent="0.2">
      <c r="A10" s="55" t="s">
        <v>82</v>
      </c>
    </row>
    <row r="11" spans="1:17" s="83" customFormat="1" ht="12.75" x14ac:dyDescent="0.2">
      <c r="A11" s="254">
        <v>1</v>
      </c>
      <c r="B11" s="254" t="s">
        <v>57</v>
      </c>
      <c r="C11" s="247">
        <v>1.32</v>
      </c>
      <c r="D11" s="247">
        <v>100</v>
      </c>
      <c r="E11" s="247">
        <v>10</v>
      </c>
      <c r="F11" s="251">
        <v>8</v>
      </c>
      <c r="G11" s="251">
        <v>85</v>
      </c>
      <c r="H11" s="247">
        <v>9</v>
      </c>
      <c r="I11" s="251">
        <v>110</v>
      </c>
      <c r="J11" s="247">
        <v>194</v>
      </c>
      <c r="K11" s="250">
        <v>51.57</v>
      </c>
      <c r="L11" s="249">
        <f>(((C11*92)/100)*K11)/100</f>
        <v>0.62626608000000006</v>
      </c>
      <c r="M11" s="247">
        <v>100</v>
      </c>
      <c r="N11" s="247">
        <v>5</v>
      </c>
      <c r="O11" s="250">
        <v>3.17</v>
      </c>
      <c r="P11" s="250">
        <v>67.78</v>
      </c>
      <c r="Q11" s="251">
        <f>(E11+F11+N11)</f>
        <v>23</v>
      </c>
    </row>
    <row r="12" spans="1:17" s="83" customFormat="1" ht="12.75" x14ac:dyDescent="0.2">
      <c r="A12" s="56">
        <v>2</v>
      </c>
      <c r="B12" s="56" t="s">
        <v>199</v>
      </c>
      <c r="C12" s="41">
        <v>1.46</v>
      </c>
      <c r="D12" s="42">
        <f>(C12*100)/C$11</f>
        <v>110.60606060606059</v>
      </c>
      <c r="E12" s="41">
        <v>12</v>
      </c>
      <c r="F12" s="312">
        <v>8</v>
      </c>
      <c r="G12" s="186">
        <v>90</v>
      </c>
      <c r="H12" s="41">
        <v>9</v>
      </c>
      <c r="I12" s="41">
        <v>112</v>
      </c>
      <c r="J12" s="41">
        <v>196</v>
      </c>
      <c r="K12" s="187">
        <v>51.03</v>
      </c>
      <c r="L12" s="47">
        <f>(((C12*92)/100)*K12)/100</f>
        <v>0.68543496000000004</v>
      </c>
      <c r="M12" s="42">
        <f>(L12*100)/L$11</f>
        <v>109.44788196097096</v>
      </c>
      <c r="N12" s="41">
        <v>6</v>
      </c>
      <c r="O12" s="191">
        <v>3.67</v>
      </c>
      <c r="P12" s="187">
        <v>67.180000000000007</v>
      </c>
      <c r="Q12" s="48">
        <f>(E12+F12+N12)</f>
        <v>26</v>
      </c>
    </row>
    <row r="13" spans="1:17" s="83" customFormat="1" ht="12.75" x14ac:dyDescent="0.2">
      <c r="A13" s="56">
        <v>3</v>
      </c>
      <c r="B13" s="56" t="s">
        <v>490</v>
      </c>
      <c r="C13" s="168">
        <v>1.1100000000000001</v>
      </c>
      <c r="D13" s="186">
        <f t="shared" ref="D13:D15" si="0">(C13*100)/C$11</f>
        <v>84.090909090909093</v>
      </c>
      <c r="E13" s="168">
        <v>6</v>
      </c>
      <c r="F13" s="312">
        <v>7</v>
      </c>
      <c r="G13" s="186">
        <v>81</v>
      </c>
      <c r="H13" s="168">
        <v>9</v>
      </c>
      <c r="I13" s="168">
        <v>116</v>
      </c>
      <c r="J13" s="168">
        <v>195</v>
      </c>
      <c r="K13" s="187">
        <v>51.98</v>
      </c>
      <c r="L13" s="188">
        <f t="shared" ref="L13:L15" si="1">(((C13*92)/100)*K13)/100</f>
        <v>0.53081976000000008</v>
      </c>
      <c r="M13" s="186">
        <f t="shared" ref="M13:M15" si="2">(L13*100)/L$11</f>
        <v>84.759461984592889</v>
      </c>
      <c r="N13" s="168">
        <v>3</v>
      </c>
      <c r="O13" s="191">
        <v>3.42</v>
      </c>
      <c r="P13" s="187">
        <v>67.08</v>
      </c>
      <c r="Q13" s="189">
        <f t="shared" ref="Q13:Q15" si="3">(E13+F13+N13)</f>
        <v>16</v>
      </c>
    </row>
    <row r="14" spans="1:17" s="83" customFormat="1" ht="12.75" x14ac:dyDescent="0.2">
      <c r="A14" s="56">
        <v>4</v>
      </c>
      <c r="B14" s="56" t="s">
        <v>491</v>
      </c>
      <c r="C14" s="312">
        <v>1.57</v>
      </c>
      <c r="D14" s="186">
        <f t="shared" si="0"/>
        <v>118.93939393939394</v>
      </c>
      <c r="E14" s="312">
        <v>14</v>
      </c>
      <c r="F14" s="312">
        <v>8</v>
      </c>
      <c r="G14" s="186">
        <v>89</v>
      </c>
      <c r="H14" s="312">
        <v>9</v>
      </c>
      <c r="I14" s="312">
        <v>117</v>
      </c>
      <c r="J14" s="312">
        <v>194</v>
      </c>
      <c r="K14" s="187">
        <v>51.95</v>
      </c>
      <c r="L14" s="188">
        <f t="shared" si="1"/>
        <v>0.75036579999999997</v>
      </c>
      <c r="M14" s="186">
        <f t="shared" si="2"/>
        <v>119.81581375124132</v>
      </c>
      <c r="N14" s="312">
        <v>7</v>
      </c>
      <c r="O14" s="191">
        <v>4.49</v>
      </c>
      <c r="P14" s="187">
        <v>67.3</v>
      </c>
      <c r="Q14" s="189">
        <f t="shared" si="3"/>
        <v>29</v>
      </c>
    </row>
    <row r="15" spans="1:17" s="83" customFormat="1" ht="12.75" x14ac:dyDescent="0.2">
      <c r="A15" s="56">
        <v>5</v>
      </c>
      <c r="B15" s="56" t="s">
        <v>492</v>
      </c>
      <c r="C15" s="41">
        <v>1.22</v>
      </c>
      <c r="D15" s="186">
        <f t="shared" si="0"/>
        <v>92.424242424242422</v>
      </c>
      <c r="E15" s="41">
        <v>8</v>
      </c>
      <c r="F15" s="312">
        <v>9</v>
      </c>
      <c r="G15" s="186">
        <v>95</v>
      </c>
      <c r="H15" s="41">
        <v>9</v>
      </c>
      <c r="I15" s="41">
        <v>113</v>
      </c>
      <c r="J15" s="41">
        <v>197</v>
      </c>
      <c r="K15" s="187">
        <v>50.57</v>
      </c>
      <c r="L15" s="188">
        <f t="shared" si="1"/>
        <v>0.56759767999999999</v>
      </c>
      <c r="M15" s="186">
        <f t="shared" si="2"/>
        <v>90.632032953149874</v>
      </c>
      <c r="N15" s="41">
        <v>4</v>
      </c>
      <c r="O15" s="191">
        <v>2.98</v>
      </c>
      <c r="P15" s="187">
        <v>65.5</v>
      </c>
      <c r="Q15" s="189">
        <f t="shared" si="3"/>
        <v>21</v>
      </c>
    </row>
    <row r="16" spans="1:17" s="83" customFormat="1" ht="12.75" x14ac:dyDescent="0.2"/>
    <row r="17" spans="1:17" s="83" customFormat="1" ht="12.75" x14ac:dyDescent="0.2">
      <c r="A17" s="111" t="s">
        <v>294</v>
      </c>
    </row>
    <row r="18" spans="1:17" s="83" customFormat="1" ht="12.75" x14ac:dyDescent="0.2">
      <c r="A18" s="254">
        <v>1</v>
      </c>
      <c r="B18" s="254" t="s">
        <v>57</v>
      </c>
      <c r="C18" s="247">
        <v>3.51</v>
      </c>
      <c r="D18" s="247">
        <v>100</v>
      </c>
      <c r="E18" s="247">
        <v>10</v>
      </c>
      <c r="F18" s="251">
        <v>7</v>
      </c>
      <c r="G18" s="251">
        <v>77</v>
      </c>
      <c r="H18" s="247">
        <v>9</v>
      </c>
      <c r="I18" s="251">
        <v>112</v>
      </c>
      <c r="J18" s="247">
        <v>197</v>
      </c>
      <c r="K18" s="250">
        <v>48.6</v>
      </c>
      <c r="L18" s="249">
        <f>(((C18*92)/100)*K18)/100</f>
        <v>1.5693911999999997</v>
      </c>
      <c r="M18" s="247">
        <v>100</v>
      </c>
      <c r="N18" s="247">
        <v>5</v>
      </c>
      <c r="O18" s="250">
        <v>5</v>
      </c>
      <c r="P18" s="250">
        <v>68.87</v>
      </c>
      <c r="Q18" s="251">
        <f>(E18+F18+N18)</f>
        <v>22</v>
      </c>
    </row>
    <row r="19" spans="1:17" s="83" customFormat="1" ht="12.75" x14ac:dyDescent="0.2">
      <c r="A19" s="56">
        <v>2</v>
      </c>
      <c r="B19" s="56" t="s">
        <v>199</v>
      </c>
      <c r="C19" s="41">
        <v>3.88</v>
      </c>
      <c r="D19" s="42">
        <f>(C19*100)/C$18</f>
        <v>110.54131054131055</v>
      </c>
      <c r="E19" s="41">
        <v>12</v>
      </c>
      <c r="F19" s="312">
        <v>9</v>
      </c>
      <c r="G19" s="186">
        <v>91</v>
      </c>
      <c r="H19" s="41">
        <v>9</v>
      </c>
      <c r="I19" s="41">
        <v>122</v>
      </c>
      <c r="J19" s="41">
        <v>197</v>
      </c>
      <c r="K19" s="187">
        <v>48.8</v>
      </c>
      <c r="L19" s="47">
        <f>(((C19*92)/100)*K19)/100</f>
        <v>1.7419647999999999</v>
      </c>
      <c r="M19" s="42">
        <f>(L19*100)/L$18</f>
        <v>110.99621305382624</v>
      </c>
      <c r="N19" s="41">
        <v>6</v>
      </c>
      <c r="O19" s="45">
        <v>5.0999999999999996</v>
      </c>
      <c r="P19" s="187">
        <v>69.3</v>
      </c>
      <c r="Q19" s="48">
        <f>(E19+F19+N19)</f>
        <v>27</v>
      </c>
    </row>
    <row r="20" spans="1:17" s="83" customFormat="1" ht="12.75" x14ac:dyDescent="0.2">
      <c r="A20" s="56">
        <v>3</v>
      </c>
      <c r="B20" s="56" t="s">
        <v>490</v>
      </c>
      <c r="C20" s="168">
        <v>3.98</v>
      </c>
      <c r="D20" s="186">
        <f t="shared" ref="D20:D22" si="4">(C20*100)/C$18</f>
        <v>113.39031339031339</v>
      </c>
      <c r="E20" s="168">
        <v>12</v>
      </c>
      <c r="F20" s="312">
        <v>8</v>
      </c>
      <c r="G20" s="186">
        <v>81</v>
      </c>
      <c r="H20" s="168">
        <v>9</v>
      </c>
      <c r="I20" s="168">
        <v>114</v>
      </c>
      <c r="J20" s="168">
        <v>197</v>
      </c>
      <c r="K20" s="187">
        <v>46.38</v>
      </c>
      <c r="L20" s="188">
        <f t="shared" ref="L20:L22" si="5">(((C20*92)/100)*K20)/100</f>
        <v>1.6982500800000002</v>
      </c>
      <c r="M20" s="186">
        <f t="shared" ref="M20:M22" si="6">(L20*100)/L$18</f>
        <v>108.21075586507689</v>
      </c>
      <c r="N20" s="168">
        <v>6</v>
      </c>
      <c r="O20" s="45">
        <v>4.3</v>
      </c>
      <c r="P20" s="187">
        <v>65.84</v>
      </c>
      <c r="Q20" s="48">
        <f>(E20+F20+N20)</f>
        <v>26</v>
      </c>
    </row>
    <row r="21" spans="1:17" s="83" customFormat="1" ht="12.75" x14ac:dyDescent="0.2">
      <c r="A21" s="56">
        <v>4</v>
      </c>
      <c r="B21" s="56" t="s">
        <v>491</v>
      </c>
      <c r="C21" s="312">
        <v>3.66</v>
      </c>
      <c r="D21" s="186">
        <f t="shared" si="4"/>
        <v>104.27350427350429</v>
      </c>
      <c r="E21" s="312">
        <v>10</v>
      </c>
      <c r="F21" s="312">
        <v>7</v>
      </c>
      <c r="G21" s="186">
        <v>78</v>
      </c>
      <c r="H21" s="312">
        <v>9</v>
      </c>
      <c r="I21" s="312">
        <v>115</v>
      </c>
      <c r="J21" s="312">
        <v>197</v>
      </c>
      <c r="K21" s="187">
        <v>49.28</v>
      </c>
      <c r="L21" s="188">
        <f t="shared" si="5"/>
        <v>1.6593561600000002</v>
      </c>
      <c r="M21" s="186">
        <f t="shared" si="6"/>
        <v>105.73247511519119</v>
      </c>
      <c r="N21" s="312">
        <v>6</v>
      </c>
      <c r="O21" s="187">
        <v>4.5999999999999996</v>
      </c>
      <c r="P21" s="187">
        <v>67.78</v>
      </c>
      <c r="Q21" s="189">
        <f t="shared" ref="Q21:Q22" si="7">(E21+F21+N21)</f>
        <v>23</v>
      </c>
    </row>
    <row r="22" spans="1:17" s="83" customFormat="1" ht="12.75" x14ac:dyDescent="0.2">
      <c r="A22" s="56">
        <v>5</v>
      </c>
      <c r="B22" s="56" t="s">
        <v>492</v>
      </c>
      <c r="C22" s="41">
        <v>3.13</v>
      </c>
      <c r="D22" s="186">
        <f t="shared" si="4"/>
        <v>89.173789173789174</v>
      </c>
      <c r="E22" s="41">
        <v>8</v>
      </c>
      <c r="F22" s="312">
        <v>8</v>
      </c>
      <c r="G22" s="186">
        <v>85</v>
      </c>
      <c r="H22" s="41">
        <v>9</v>
      </c>
      <c r="I22" s="41">
        <v>114</v>
      </c>
      <c r="J22" s="41">
        <v>197</v>
      </c>
      <c r="K22" s="187">
        <v>49.76</v>
      </c>
      <c r="L22" s="188">
        <f t="shared" si="5"/>
        <v>1.4328889599999999</v>
      </c>
      <c r="M22" s="186">
        <f t="shared" si="6"/>
        <v>91.302217063533959</v>
      </c>
      <c r="N22" s="41">
        <v>4</v>
      </c>
      <c r="O22" s="45">
        <v>4.8</v>
      </c>
      <c r="P22" s="187">
        <v>68.7</v>
      </c>
      <c r="Q22" s="189">
        <f t="shared" si="7"/>
        <v>20</v>
      </c>
    </row>
    <row r="23" spans="1:17" s="83" customFormat="1" ht="12.75" x14ac:dyDescent="0.2"/>
    <row r="24" spans="1:17" s="83" customFormat="1" ht="12.75" x14ac:dyDescent="0.2">
      <c r="A24" s="328" t="s">
        <v>295</v>
      </c>
    </row>
    <row r="25" spans="1:17" s="83" customFormat="1" ht="12.75" x14ac:dyDescent="0.2">
      <c r="A25" s="254">
        <v>1</v>
      </c>
      <c r="B25" s="254" t="s">
        <v>57</v>
      </c>
      <c r="C25" s="249">
        <v>2.64</v>
      </c>
      <c r="D25" s="247">
        <v>100</v>
      </c>
      <c r="E25" s="247">
        <v>10</v>
      </c>
      <c r="F25" s="251">
        <v>8</v>
      </c>
      <c r="G25" s="251">
        <v>83</v>
      </c>
      <c r="H25" s="247">
        <v>9</v>
      </c>
      <c r="I25" s="251">
        <v>130</v>
      </c>
      <c r="J25" s="264">
        <v>201</v>
      </c>
      <c r="K25" s="250">
        <v>48.2</v>
      </c>
      <c r="L25" s="249">
        <f>(((C25*92)/100)*K25)/100</f>
        <v>1.1706816000000002</v>
      </c>
      <c r="M25" s="247">
        <v>100</v>
      </c>
      <c r="N25" s="247">
        <v>5</v>
      </c>
      <c r="O25" s="250">
        <v>3.77</v>
      </c>
      <c r="P25" s="250">
        <v>69.84</v>
      </c>
      <c r="Q25" s="251">
        <f>(E25+F25+N25)</f>
        <v>23</v>
      </c>
    </row>
    <row r="26" spans="1:17" s="83" customFormat="1" ht="12.75" x14ac:dyDescent="0.2">
      <c r="A26" s="56">
        <v>2</v>
      </c>
      <c r="B26" s="56" t="s">
        <v>199</v>
      </c>
      <c r="C26" s="44">
        <v>2.54</v>
      </c>
      <c r="D26" s="42">
        <f>(C26*100)/C$25</f>
        <v>96.212121212121204</v>
      </c>
      <c r="E26" s="41">
        <v>10</v>
      </c>
      <c r="F26" s="312">
        <v>8</v>
      </c>
      <c r="G26" s="186">
        <v>85</v>
      </c>
      <c r="H26" s="41">
        <v>9</v>
      </c>
      <c r="I26" s="41">
        <v>122</v>
      </c>
      <c r="J26" s="178">
        <v>201</v>
      </c>
      <c r="K26" s="45">
        <v>49.2</v>
      </c>
      <c r="L26" s="47">
        <f>(((C26*92)/100)*K26)/100</f>
        <v>1.1497056000000001</v>
      </c>
      <c r="M26" s="42">
        <f>(L26*100)/L$25</f>
        <v>98.208223311957738</v>
      </c>
      <c r="N26" s="41">
        <v>5</v>
      </c>
      <c r="O26" s="45">
        <v>3.24</v>
      </c>
      <c r="P26" s="187">
        <v>69.430000000000007</v>
      </c>
      <c r="Q26" s="48">
        <f>(E26+F26+N26)</f>
        <v>23</v>
      </c>
    </row>
    <row r="27" spans="1:17" s="83" customFormat="1" ht="12.75" x14ac:dyDescent="0.2">
      <c r="A27" s="56">
        <v>3</v>
      </c>
      <c r="B27" s="56" t="s">
        <v>490</v>
      </c>
      <c r="C27" s="44">
        <v>2.94</v>
      </c>
      <c r="D27" s="186">
        <f>(C27*100)/C$25</f>
        <v>111.36363636363636</v>
      </c>
      <c r="E27" s="168">
        <v>12</v>
      </c>
      <c r="F27" s="312">
        <v>9</v>
      </c>
      <c r="G27" s="186">
        <v>91</v>
      </c>
      <c r="H27" s="168">
        <v>9</v>
      </c>
      <c r="I27" s="168">
        <v>121</v>
      </c>
      <c r="J27" s="178">
        <v>201</v>
      </c>
      <c r="K27" s="45">
        <v>49.5</v>
      </c>
      <c r="L27" s="188">
        <f>(((C27*92)/100)*K27)/100</f>
        <v>1.338876</v>
      </c>
      <c r="M27" s="186">
        <f>(L27*100)/L$25</f>
        <v>114.36721991701242</v>
      </c>
      <c r="N27" s="168">
        <v>6</v>
      </c>
      <c r="O27" s="45">
        <v>2.99</v>
      </c>
      <c r="P27" s="187">
        <v>67.22</v>
      </c>
      <c r="Q27" s="189">
        <f>(E27+F27+N27)</f>
        <v>27</v>
      </c>
    </row>
    <row r="28" spans="1:17" s="83" customFormat="1" ht="12.75" x14ac:dyDescent="0.2">
      <c r="A28" s="56">
        <v>4</v>
      </c>
      <c r="B28" s="56" t="s">
        <v>491</v>
      </c>
      <c r="C28" s="44">
        <v>2.42</v>
      </c>
      <c r="D28" s="186">
        <f>(C28*100)/C$25</f>
        <v>91.666666666666657</v>
      </c>
      <c r="E28" s="312">
        <v>8</v>
      </c>
      <c r="F28" s="312">
        <v>7</v>
      </c>
      <c r="G28" s="186">
        <v>76</v>
      </c>
      <c r="H28" s="312">
        <v>9</v>
      </c>
      <c r="I28" s="312">
        <v>113</v>
      </c>
      <c r="J28" s="178">
        <v>201</v>
      </c>
      <c r="K28" s="187">
        <v>49.5</v>
      </c>
      <c r="L28" s="188">
        <f>(((C28*92)/100)*K28)/100</f>
        <v>1.102068</v>
      </c>
      <c r="M28" s="186">
        <f>(L28*100)/L$25</f>
        <v>94.139004149377584</v>
      </c>
      <c r="N28" s="312">
        <v>4</v>
      </c>
      <c r="O28" s="187">
        <v>2.98</v>
      </c>
      <c r="P28" s="187">
        <v>68.849999999999994</v>
      </c>
      <c r="Q28" s="189">
        <f>(E28+F28+N28)</f>
        <v>19</v>
      </c>
    </row>
    <row r="29" spans="1:17" s="83" customFormat="1" ht="12.75" x14ac:dyDescent="0.2">
      <c r="A29" s="56">
        <v>5</v>
      </c>
      <c r="B29" s="56" t="s">
        <v>492</v>
      </c>
      <c r="C29" s="44">
        <v>3.14</v>
      </c>
      <c r="D29" s="186">
        <f>(C29*100)/C$25</f>
        <v>118.93939393939394</v>
      </c>
      <c r="E29" s="41">
        <v>14</v>
      </c>
      <c r="F29" s="312">
        <v>7</v>
      </c>
      <c r="G29" s="186">
        <v>76</v>
      </c>
      <c r="H29" s="41">
        <v>9</v>
      </c>
      <c r="I29" s="41">
        <v>121</v>
      </c>
      <c r="J29" s="178">
        <v>201</v>
      </c>
      <c r="K29" s="45">
        <v>47.3</v>
      </c>
      <c r="L29" s="47">
        <f>(((C29*92)/100)*K29)/100</f>
        <v>1.3664023999999997</v>
      </c>
      <c r="M29" s="186">
        <f>(L29*100)/L$25</f>
        <v>116.71853388658364</v>
      </c>
      <c r="N29" s="41">
        <v>7</v>
      </c>
      <c r="O29" s="45">
        <v>2.98</v>
      </c>
      <c r="P29" s="187">
        <v>69.41</v>
      </c>
      <c r="Q29" s="189">
        <f>(E29+F29+N29)</f>
        <v>28</v>
      </c>
    </row>
    <row r="30" spans="1:17" s="83" customFormat="1" ht="12.75" x14ac:dyDescent="0.2"/>
    <row r="31" spans="1:17" s="83" customFormat="1" ht="12.75" x14ac:dyDescent="0.2">
      <c r="A31" s="111" t="s">
        <v>293</v>
      </c>
    </row>
    <row r="32" spans="1:17" s="83" customFormat="1" ht="12.75" x14ac:dyDescent="0.2">
      <c r="A32" s="254">
        <v>1</v>
      </c>
      <c r="B32" s="254" t="s">
        <v>57</v>
      </c>
      <c r="C32" s="249">
        <f>SUM(C11+C18+C25)/3</f>
        <v>2.4900000000000002</v>
      </c>
      <c r="D32" s="247">
        <v>100</v>
      </c>
      <c r="E32" s="247">
        <v>10</v>
      </c>
      <c r="F32" s="251">
        <f>SUM(F11+F18+F25)/3</f>
        <v>7.666666666666667</v>
      </c>
      <c r="G32" s="251">
        <f>(G11+G18+G25)/3</f>
        <v>81.666666666666671</v>
      </c>
      <c r="H32" s="251">
        <f t="shared" ref="H32:K35" si="8">SUM(H11+H18+H25)/3</f>
        <v>9</v>
      </c>
      <c r="I32" s="251">
        <f t="shared" si="8"/>
        <v>117.33333333333333</v>
      </c>
      <c r="J32" s="251">
        <f t="shared" si="8"/>
        <v>197.33333333333334</v>
      </c>
      <c r="K32" s="250">
        <f t="shared" si="8"/>
        <v>49.456666666666671</v>
      </c>
      <c r="L32" s="249">
        <f>(((C32*92)/100)*K32)/100</f>
        <v>1.1329533199999999</v>
      </c>
      <c r="M32" s="247">
        <v>100</v>
      </c>
      <c r="N32" s="247">
        <v>5</v>
      </c>
      <c r="O32" s="250">
        <f t="shared" ref="O32:P35" si="9">SUM(O11+O18+O25)/3</f>
        <v>3.98</v>
      </c>
      <c r="P32" s="250">
        <f t="shared" si="9"/>
        <v>68.83</v>
      </c>
      <c r="Q32" s="251">
        <f>(E32+F32+N32)</f>
        <v>22.666666666666668</v>
      </c>
    </row>
    <row r="33" spans="1:17" s="83" customFormat="1" ht="12.75" x14ac:dyDescent="0.2">
      <c r="A33" s="56">
        <v>2</v>
      </c>
      <c r="B33" s="56" t="s">
        <v>199</v>
      </c>
      <c r="C33" s="47">
        <f>SUM(C12+C19+C26)/3</f>
        <v>2.6266666666666665</v>
      </c>
      <c r="D33" s="42">
        <f>(C33*100)/C$32</f>
        <v>105.48862115127173</v>
      </c>
      <c r="E33" s="41">
        <v>10</v>
      </c>
      <c r="F33" s="48">
        <f>SUM(F12+F19+F26)/3</f>
        <v>8.3333333333333339</v>
      </c>
      <c r="G33" s="189">
        <f>(G12+G19+G26)/3</f>
        <v>88.666666666666671</v>
      </c>
      <c r="H33" s="48">
        <f t="shared" si="8"/>
        <v>9</v>
      </c>
      <c r="I33" s="48">
        <f t="shared" si="8"/>
        <v>118.66666666666667</v>
      </c>
      <c r="J33" s="48">
        <f t="shared" si="8"/>
        <v>198</v>
      </c>
      <c r="K33" s="50">
        <f t="shared" si="8"/>
        <v>49.676666666666669</v>
      </c>
      <c r="L33" s="47">
        <f>(((C33*92)/100)*K33)/100</f>
        <v>1.2004532088888888</v>
      </c>
      <c r="M33" s="42">
        <f>(L33*100)/L$32</f>
        <v>105.95787025796339</v>
      </c>
      <c r="N33" s="41">
        <v>6</v>
      </c>
      <c r="O33" s="50">
        <f t="shared" si="9"/>
        <v>4.003333333333333</v>
      </c>
      <c r="P33" s="50">
        <f t="shared" si="9"/>
        <v>68.63666666666667</v>
      </c>
      <c r="Q33" s="48">
        <f>(E33+F33+N33)</f>
        <v>24.333333333333336</v>
      </c>
    </row>
    <row r="34" spans="1:17" s="83" customFormat="1" ht="12.75" x14ac:dyDescent="0.2">
      <c r="A34" s="56">
        <v>3</v>
      </c>
      <c r="B34" s="56" t="s">
        <v>490</v>
      </c>
      <c r="C34" s="188">
        <f>SUM(C13+C20+C27)/3</f>
        <v>2.6766666666666663</v>
      </c>
      <c r="D34" s="186">
        <f t="shared" ref="D34:D36" si="10">(C34*100)/C$32</f>
        <v>107.49665327978579</v>
      </c>
      <c r="E34" s="168">
        <v>12</v>
      </c>
      <c r="F34" s="189">
        <f>SUM(F13+F20+F27)/3</f>
        <v>8</v>
      </c>
      <c r="G34" s="189">
        <f>(G13+G20+G27)/3</f>
        <v>84.333333333333329</v>
      </c>
      <c r="H34" s="189">
        <f t="shared" si="8"/>
        <v>9</v>
      </c>
      <c r="I34" s="189">
        <f t="shared" si="8"/>
        <v>117</v>
      </c>
      <c r="J34" s="189">
        <f t="shared" si="8"/>
        <v>197.66666666666666</v>
      </c>
      <c r="K34" s="191">
        <f t="shared" si="8"/>
        <v>49.286666666666669</v>
      </c>
      <c r="L34" s="188">
        <f>(((C34*92)/100)*K34)/100</f>
        <v>1.2137005955555553</v>
      </c>
      <c r="M34" s="186">
        <f>(L34*100)/L$32</f>
        <v>107.12714938295564</v>
      </c>
      <c r="N34" s="168">
        <v>6</v>
      </c>
      <c r="O34" s="191">
        <f t="shared" si="9"/>
        <v>3.5700000000000003</v>
      </c>
      <c r="P34" s="191">
        <f t="shared" si="9"/>
        <v>66.713333333333338</v>
      </c>
      <c r="Q34" s="189">
        <f>(E34+F34+N34)</f>
        <v>26</v>
      </c>
    </row>
    <row r="35" spans="1:17" s="83" customFormat="1" ht="12.75" x14ac:dyDescent="0.2">
      <c r="A35" s="56">
        <v>4</v>
      </c>
      <c r="B35" s="56" t="s">
        <v>491</v>
      </c>
      <c r="C35" s="188">
        <f>SUM(C14+C21+C28)/3</f>
        <v>2.5500000000000003</v>
      </c>
      <c r="D35" s="186">
        <f t="shared" si="10"/>
        <v>102.40963855421687</v>
      </c>
      <c r="E35" s="312">
        <v>10</v>
      </c>
      <c r="F35" s="189">
        <f>SUM(F14+F21+F28)/3</f>
        <v>7.333333333333333</v>
      </c>
      <c r="G35" s="189">
        <f>(G14+G21+G28)/3</f>
        <v>81</v>
      </c>
      <c r="H35" s="189">
        <f t="shared" si="8"/>
        <v>9</v>
      </c>
      <c r="I35" s="189">
        <f t="shared" si="8"/>
        <v>115</v>
      </c>
      <c r="J35" s="189">
        <f t="shared" si="8"/>
        <v>197.33333333333334</v>
      </c>
      <c r="K35" s="191">
        <f t="shared" si="8"/>
        <v>50.243333333333339</v>
      </c>
      <c r="L35" s="188">
        <f>(((C35*92)/100)*K35)/100</f>
        <v>1.1787086000000002</v>
      </c>
      <c r="M35" s="186">
        <f>(L35*100)/L$32</f>
        <v>104.0385847494582</v>
      </c>
      <c r="N35" s="312">
        <v>5</v>
      </c>
      <c r="O35" s="191">
        <f t="shared" si="9"/>
        <v>4.0233333333333334</v>
      </c>
      <c r="P35" s="191">
        <f t="shared" si="9"/>
        <v>67.976666666666659</v>
      </c>
      <c r="Q35" s="189">
        <f>(E35+F35+N35)</f>
        <v>22.333333333333332</v>
      </c>
    </row>
    <row r="36" spans="1:17" s="83" customFormat="1" ht="12.75" x14ac:dyDescent="0.2">
      <c r="A36" s="56">
        <v>5</v>
      </c>
      <c r="B36" s="56" t="s">
        <v>492</v>
      </c>
      <c r="C36" s="47">
        <f>SUM(C15+C22+C29)/3</f>
        <v>2.4966666666666666</v>
      </c>
      <c r="D36" s="186">
        <f t="shared" si="10"/>
        <v>100.2677376171352</v>
      </c>
      <c r="E36" s="41">
        <v>10</v>
      </c>
      <c r="F36" s="189">
        <f>SUM(F15+F22+F29)/3</f>
        <v>8</v>
      </c>
      <c r="G36" s="189">
        <f>(G15+G22+G29)/3</f>
        <v>85.333333333333329</v>
      </c>
      <c r="H36" s="189">
        <f t="shared" ref="H36:K36" si="11">SUM(H15+H22+H29)/3</f>
        <v>9</v>
      </c>
      <c r="I36" s="189">
        <f t="shared" si="11"/>
        <v>116</v>
      </c>
      <c r="J36" s="189">
        <f t="shared" si="11"/>
        <v>198.33333333333334</v>
      </c>
      <c r="K36" s="191">
        <f t="shared" si="11"/>
        <v>49.21</v>
      </c>
      <c r="L36" s="188">
        <f>(((C36*92)/100)*K36)/100</f>
        <v>1.1303208933333335</v>
      </c>
      <c r="M36" s="186">
        <f>(L36*100)/L$32</f>
        <v>99.76764915021684</v>
      </c>
      <c r="N36" s="41">
        <v>5</v>
      </c>
      <c r="O36" s="191">
        <f t="shared" ref="O36:P36" si="12">SUM(O15+O22+O29)/3</f>
        <v>3.5866666666666664</v>
      </c>
      <c r="P36" s="191">
        <f t="shared" si="12"/>
        <v>67.86999999999999</v>
      </c>
      <c r="Q36" s="189">
        <f>(E36+F36+N36)</f>
        <v>23</v>
      </c>
    </row>
    <row r="37" spans="1:17" s="83" customFormat="1" ht="12.75" x14ac:dyDescent="0.2"/>
    <row r="38" spans="1:17" x14ac:dyDescent="0.25">
      <c r="B38" s="367" t="s">
        <v>104</v>
      </c>
      <c r="C38" s="367"/>
      <c r="D38" s="367"/>
      <c r="E38" s="367"/>
      <c r="F38" s="367"/>
      <c r="G38" s="367"/>
      <c r="H38" s="367"/>
      <c r="I38" s="367"/>
    </row>
    <row r="39" spans="1:17" x14ac:dyDescent="0.25">
      <c r="B39" s="123" t="s">
        <v>307</v>
      </c>
      <c r="C39" s="363" t="s">
        <v>134</v>
      </c>
      <c r="D39" s="364"/>
      <c r="E39" s="363" t="s">
        <v>145</v>
      </c>
      <c r="F39" s="364"/>
      <c r="G39" s="166"/>
      <c r="H39" s="357" t="s">
        <v>105</v>
      </c>
      <c r="I39" s="364"/>
    </row>
    <row r="40" spans="1:17" x14ac:dyDescent="0.25">
      <c r="B40" s="124" t="s">
        <v>106</v>
      </c>
      <c r="C40" s="368"/>
      <c r="D40" s="369"/>
      <c r="E40" s="369"/>
      <c r="F40" s="369"/>
      <c r="G40" s="369"/>
      <c r="H40" s="369"/>
      <c r="I40" s="370"/>
    </row>
    <row r="41" spans="1:17" x14ac:dyDescent="0.25">
      <c r="B41" s="124" t="s">
        <v>156</v>
      </c>
      <c r="C41" s="363" t="s">
        <v>493</v>
      </c>
      <c r="D41" s="357"/>
      <c r="E41" s="356" t="s">
        <v>503</v>
      </c>
      <c r="F41" s="356"/>
      <c r="G41" s="203"/>
      <c r="H41" s="356" t="s">
        <v>622</v>
      </c>
      <c r="I41" s="362"/>
    </row>
    <row r="42" spans="1:17" x14ac:dyDescent="0.25">
      <c r="B42" s="124" t="s">
        <v>107</v>
      </c>
      <c r="C42" s="363">
        <v>2.1</v>
      </c>
      <c r="D42" s="364"/>
      <c r="E42" s="361" t="s">
        <v>200</v>
      </c>
      <c r="F42" s="362"/>
      <c r="G42" s="203"/>
      <c r="H42" s="361">
        <v>3.3</v>
      </c>
      <c r="I42" s="362"/>
    </row>
    <row r="43" spans="1:17" x14ac:dyDescent="0.25">
      <c r="B43" s="124" t="s">
        <v>108</v>
      </c>
      <c r="C43" s="363">
        <v>7</v>
      </c>
      <c r="D43" s="364"/>
      <c r="E43" s="361" t="s">
        <v>504</v>
      </c>
      <c r="F43" s="362"/>
      <c r="G43" s="203"/>
      <c r="H43" s="361">
        <v>5.9</v>
      </c>
      <c r="I43" s="362"/>
    </row>
    <row r="44" spans="1:17" x14ac:dyDescent="0.25">
      <c r="B44" s="124" t="s">
        <v>109</v>
      </c>
      <c r="C44" s="363">
        <v>119</v>
      </c>
      <c r="D44" s="364"/>
      <c r="E44" s="361" t="s">
        <v>198</v>
      </c>
      <c r="F44" s="362"/>
      <c r="G44" s="203"/>
      <c r="H44" s="389">
        <v>85</v>
      </c>
      <c r="I44" s="390"/>
    </row>
    <row r="45" spans="1:17" x14ac:dyDescent="0.25">
      <c r="B45" s="124" t="s">
        <v>110</v>
      </c>
      <c r="C45" s="363">
        <v>250</v>
      </c>
      <c r="D45" s="364"/>
      <c r="E45" s="361" t="s">
        <v>505</v>
      </c>
      <c r="F45" s="362"/>
      <c r="G45" s="203"/>
      <c r="H45" s="361">
        <v>163</v>
      </c>
      <c r="I45" s="362"/>
    </row>
    <row r="46" spans="1:17" s="87" customFormat="1" x14ac:dyDescent="0.25">
      <c r="B46" s="124" t="s">
        <v>119</v>
      </c>
      <c r="C46" s="363" t="s">
        <v>173</v>
      </c>
      <c r="D46" s="357"/>
      <c r="E46" s="356" t="s">
        <v>506</v>
      </c>
      <c r="F46" s="362"/>
      <c r="G46" s="203"/>
      <c r="H46" s="361" t="s">
        <v>240</v>
      </c>
      <c r="I46" s="362"/>
    </row>
    <row r="47" spans="1:17" x14ac:dyDescent="0.25">
      <c r="B47" s="124" t="s">
        <v>140</v>
      </c>
      <c r="C47" s="382" t="s">
        <v>494</v>
      </c>
      <c r="D47" s="383"/>
      <c r="E47" s="356" t="s">
        <v>243</v>
      </c>
      <c r="F47" s="362"/>
      <c r="G47" s="203"/>
      <c r="H47" s="356" t="s">
        <v>243</v>
      </c>
      <c r="I47" s="362"/>
    </row>
    <row r="48" spans="1:17" x14ac:dyDescent="0.25">
      <c r="B48" s="124" t="s">
        <v>111</v>
      </c>
      <c r="C48" s="353" t="s">
        <v>495</v>
      </c>
      <c r="D48" s="353"/>
      <c r="E48" s="358" t="s">
        <v>246</v>
      </c>
      <c r="F48" s="358"/>
      <c r="G48" s="176"/>
      <c r="H48" s="358" t="s">
        <v>237</v>
      </c>
      <c r="I48" s="358"/>
    </row>
    <row r="49" spans="2:9" x14ac:dyDescent="0.25">
      <c r="B49" s="123" t="s">
        <v>142</v>
      </c>
      <c r="C49" s="357" t="s">
        <v>377</v>
      </c>
      <c r="D49" s="364"/>
      <c r="E49" s="377" t="s">
        <v>322</v>
      </c>
      <c r="F49" s="358"/>
      <c r="G49" s="176"/>
      <c r="H49" s="358" t="s">
        <v>624</v>
      </c>
      <c r="I49" s="358"/>
    </row>
    <row r="50" spans="2:9" x14ac:dyDescent="0.25">
      <c r="B50" s="123" t="s">
        <v>143</v>
      </c>
      <c r="C50" s="357" t="s">
        <v>311</v>
      </c>
      <c r="D50" s="364"/>
      <c r="E50" s="358" t="s">
        <v>323</v>
      </c>
      <c r="F50" s="358"/>
      <c r="G50" s="176"/>
      <c r="H50" s="358" t="s">
        <v>625</v>
      </c>
      <c r="I50" s="358"/>
    </row>
    <row r="51" spans="2:9" x14ac:dyDescent="0.25">
      <c r="B51" s="123" t="s">
        <v>112</v>
      </c>
      <c r="C51" s="357" t="s">
        <v>496</v>
      </c>
      <c r="D51" s="364"/>
      <c r="E51" s="358" t="s">
        <v>507</v>
      </c>
      <c r="F51" s="358"/>
      <c r="G51" s="176"/>
      <c r="H51" s="358" t="s">
        <v>507</v>
      </c>
      <c r="I51" s="358"/>
    </row>
    <row r="52" spans="2:9" x14ac:dyDescent="0.25">
      <c r="B52" s="124" t="s">
        <v>113</v>
      </c>
      <c r="C52" s="359"/>
      <c r="D52" s="359"/>
      <c r="E52" s="359"/>
      <c r="F52" s="359"/>
      <c r="G52" s="359"/>
      <c r="H52" s="359"/>
      <c r="I52" s="359"/>
    </row>
    <row r="53" spans="2:9" x14ac:dyDescent="0.25">
      <c r="B53" s="124" t="s">
        <v>114</v>
      </c>
      <c r="C53" s="125" t="s">
        <v>237</v>
      </c>
      <c r="D53" s="199" t="s">
        <v>497</v>
      </c>
      <c r="E53" s="211" t="s">
        <v>242</v>
      </c>
      <c r="F53" s="177" t="s">
        <v>508</v>
      </c>
      <c r="G53" s="176"/>
      <c r="H53" s="211" t="s">
        <v>253</v>
      </c>
      <c r="I53" s="323" t="s">
        <v>273</v>
      </c>
    </row>
    <row r="54" spans="2:9" x14ac:dyDescent="0.25">
      <c r="B54" s="124" t="s">
        <v>138</v>
      </c>
      <c r="C54" s="124"/>
      <c r="D54" s="148" t="s">
        <v>498</v>
      </c>
      <c r="E54" s="211"/>
      <c r="F54" s="220"/>
      <c r="G54" s="176"/>
      <c r="H54" s="211" t="s">
        <v>389</v>
      </c>
      <c r="I54" s="323" t="s">
        <v>269</v>
      </c>
    </row>
    <row r="55" spans="2:9" x14ac:dyDescent="0.25">
      <c r="B55" s="124" t="s">
        <v>138</v>
      </c>
      <c r="C55" s="124"/>
      <c r="D55" s="199"/>
      <c r="E55" s="211" t="s">
        <v>323</v>
      </c>
      <c r="F55" s="177" t="s">
        <v>509</v>
      </c>
      <c r="G55" s="176"/>
      <c r="H55" s="211" t="s">
        <v>390</v>
      </c>
      <c r="I55" s="323" t="s">
        <v>590</v>
      </c>
    </row>
    <row r="56" spans="2:9" x14ac:dyDescent="0.25">
      <c r="B56" s="124" t="s">
        <v>138</v>
      </c>
      <c r="C56" s="124"/>
      <c r="D56" s="199"/>
      <c r="E56" s="211" t="s">
        <v>510</v>
      </c>
      <c r="F56" s="309" t="s">
        <v>511</v>
      </c>
      <c r="G56" s="176"/>
      <c r="H56" s="211"/>
      <c r="I56" s="177"/>
    </row>
    <row r="57" spans="2:9" s="87" customFormat="1" x14ac:dyDescent="0.25">
      <c r="B57" s="124"/>
      <c r="C57" s="124"/>
      <c r="D57" s="207"/>
      <c r="E57" s="211"/>
      <c r="F57" s="177"/>
      <c r="G57" s="210"/>
      <c r="H57" s="211"/>
      <c r="I57" s="177"/>
    </row>
    <row r="58" spans="2:9" s="87" customFormat="1" x14ac:dyDescent="0.25">
      <c r="B58" s="124" t="s">
        <v>244</v>
      </c>
      <c r="C58" s="124"/>
      <c r="D58" s="207"/>
      <c r="E58" s="201"/>
      <c r="F58" s="210"/>
      <c r="G58" s="210"/>
      <c r="H58" s="211"/>
      <c r="I58" s="211"/>
    </row>
    <row r="59" spans="2:9" x14ac:dyDescent="0.25">
      <c r="B59" s="124"/>
      <c r="C59" s="124"/>
      <c r="D59" s="176"/>
      <c r="E59" s="201"/>
      <c r="F59" s="176"/>
      <c r="G59" s="176"/>
      <c r="H59" s="201"/>
      <c r="I59" s="201"/>
    </row>
    <row r="60" spans="2:9" x14ac:dyDescent="0.25">
      <c r="B60" s="124" t="s">
        <v>115</v>
      </c>
      <c r="C60" s="353"/>
      <c r="D60" s="353"/>
      <c r="E60" s="353"/>
      <c r="F60" s="353"/>
      <c r="G60" s="353"/>
      <c r="H60" s="353"/>
      <c r="I60" s="353"/>
    </row>
    <row r="61" spans="2:9" x14ac:dyDescent="0.25">
      <c r="B61" s="124" t="s">
        <v>116</v>
      </c>
      <c r="C61" s="124" t="s">
        <v>405</v>
      </c>
      <c r="D61" s="124" t="s">
        <v>165</v>
      </c>
      <c r="E61" s="211"/>
      <c r="F61" s="211" t="s">
        <v>165</v>
      </c>
      <c r="G61" s="201"/>
      <c r="H61" s="211" t="s">
        <v>593</v>
      </c>
      <c r="I61" s="211" t="s">
        <v>165</v>
      </c>
    </row>
    <row r="62" spans="2:9" x14ac:dyDescent="0.25">
      <c r="B62" s="127"/>
      <c r="C62" s="124"/>
      <c r="D62" s="124" t="s">
        <v>167</v>
      </c>
      <c r="E62" s="211"/>
      <c r="F62" s="211" t="s">
        <v>167</v>
      </c>
      <c r="G62" s="201"/>
      <c r="H62" s="211"/>
      <c r="I62" s="211" t="s">
        <v>167</v>
      </c>
    </row>
    <row r="63" spans="2:9" x14ac:dyDescent="0.25">
      <c r="B63" s="127"/>
      <c r="C63" s="124"/>
      <c r="D63" s="124"/>
      <c r="E63" s="201"/>
      <c r="F63" s="201"/>
      <c r="G63" s="201"/>
      <c r="H63" s="201"/>
      <c r="I63" s="201"/>
    </row>
    <row r="64" spans="2:9" x14ac:dyDescent="0.25">
      <c r="B64" s="124" t="s">
        <v>157</v>
      </c>
      <c r="C64" s="124" t="s">
        <v>499</v>
      </c>
      <c r="D64" s="124" t="s">
        <v>500</v>
      </c>
      <c r="E64" s="211" t="s">
        <v>357</v>
      </c>
      <c r="F64" s="211" t="s">
        <v>512</v>
      </c>
      <c r="G64" s="201"/>
      <c r="H64" s="211" t="s">
        <v>532</v>
      </c>
      <c r="I64" s="211" t="s">
        <v>594</v>
      </c>
    </row>
    <row r="65" spans="2:9" x14ac:dyDescent="0.25">
      <c r="B65" s="124"/>
      <c r="C65" s="124"/>
      <c r="D65" s="124"/>
      <c r="E65" s="211" t="s">
        <v>513</v>
      </c>
      <c r="F65" s="211" t="s">
        <v>514</v>
      </c>
      <c r="G65" s="201"/>
      <c r="H65" s="201"/>
      <c r="I65" s="201"/>
    </row>
    <row r="66" spans="2:9" x14ac:dyDescent="0.25">
      <c r="B66" s="124"/>
      <c r="C66" s="124"/>
      <c r="D66" s="124"/>
      <c r="E66" s="211"/>
      <c r="F66" s="211"/>
      <c r="G66" s="201"/>
      <c r="H66" s="201"/>
      <c r="I66" s="201"/>
    </row>
    <row r="67" spans="2:9" x14ac:dyDescent="0.25">
      <c r="B67" s="124" t="s">
        <v>117</v>
      </c>
      <c r="C67" s="124"/>
      <c r="D67" s="124"/>
      <c r="E67" s="211" t="s">
        <v>357</v>
      </c>
      <c r="F67" s="211" t="s">
        <v>517</v>
      </c>
      <c r="G67" s="201"/>
      <c r="H67" s="211" t="s">
        <v>394</v>
      </c>
      <c r="I67" s="211" t="s">
        <v>159</v>
      </c>
    </row>
    <row r="68" spans="2:9" x14ac:dyDescent="0.25">
      <c r="B68" s="124"/>
      <c r="C68" s="124"/>
      <c r="D68" s="124"/>
      <c r="E68" s="211" t="s">
        <v>513</v>
      </c>
      <c r="F68" s="211" t="s">
        <v>158</v>
      </c>
      <c r="G68" s="201"/>
      <c r="H68" s="211"/>
      <c r="I68" s="211"/>
    </row>
    <row r="69" spans="2:9" x14ac:dyDescent="0.25">
      <c r="C69" s="124"/>
      <c r="D69" s="124"/>
      <c r="E69" s="211" t="s">
        <v>518</v>
      </c>
      <c r="F69" s="211" t="s">
        <v>519</v>
      </c>
      <c r="G69" s="201"/>
      <c r="H69" s="201"/>
      <c r="I69" s="201"/>
    </row>
    <row r="70" spans="2:9" s="87" customFormat="1" x14ac:dyDescent="0.25">
      <c r="C70" s="124"/>
      <c r="D70" s="124"/>
      <c r="E70" s="211" t="s">
        <v>515</v>
      </c>
      <c r="F70" s="211" t="s">
        <v>158</v>
      </c>
      <c r="G70" s="201"/>
      <c r="H70" s="201"/>
      <c r="I70" s="201"/>
    </row>
    <row r="71" spans="2:9" s="87" customFormat="1" x14ac:dyDescent="0.25">
      <c r="B71" s="124" t="s">
        <v>123</v>
      </c>
      <c r="C71" s="124"/>
      <c r="D71" s="124"/>
      <c r="E71" s="211" t="s">
        <v>515</v>
      </c>
      <c r="F71" s="211" t="s">
        <v>516</v>
      </c>
      <c r="G71" s="201"/>
      <c r="H71" s="201"/>
      <c r="I71" s="201"/>
    </row>
    <row r="72" spans="2:9" x14ac:dyDescent="0.25">
      <c r="B72" s="124"/>
      <c r="C72" s="124"/>
      <c r="D72" s="124"/>
      <c r="G72" s="201"/>
      <c r="H72" s="201"/>
      <c r="I72" s="201"/>
    </row>
    <row r="73" spans="2:9" s="87" customFormat="1" x14ac:dyDescent="0.25">
      <c r="B73" s="124"/>
      <c r="C73" s="124"/>
      <c r="D73" s="124"/>
      <c r="E73" s="211"/>
      <c r="F73" s="211"/>
      <c r="G73" s="201"/>
      <c r="H73" s="201"/>
      <c r="I73" s="201"/>
    </row>
    <row r="74" spans="2:9" x14ac:dyDescent="0.25">
      <c r="B74" s="124" t="s">
        <v>144</v>
      </c>
      <c r="C74" s="124" t="s">
        <v>417</v>
      </c>
      <c r="D74" s="124" t="s">
        <v>501</v>
      </c>
      <c r="E74" s="211" t="s">
        <v>357</v>
      </c>
      <c r="F74" s="211" t="s">
        <v>520</v>
      </c>
      <c r="G74" s="201"/>
      <c r="H74" s="211" t="s">
        <v>394</v>
      </c>
      <c r="I74" s="211" t="s">
        <v>591</v>
      </c>
    </row>
    <row r="75" spans="2:9" x14ac:dyDescent="0.25">
      <c r="B75" s="124"/>
      <c r="C75" s="124"/>
      <c r="D75" s="124" t="s">
        <v>502</v>
      </c>
      <c r="E75" s="211" t="s">
        <v>513</v>
      </c>
      <c r="F75" s="211" t="s">
        <v>190</v>
      </c>
      <c r="G75" s="201"/>
      <c r="H75" s="211"/>
      <c r="I75" s="211" t="s">
        <v>592</v>
      </c>
    </row>
    <row r="76" spans="2:9" x14ac:dyDescent="0.25">
      <c r="B76" s="127"/>
      <c r="C76" s="124"/>
      <c r="D76" s="124"/>
      <c r="E76" s="211" t="s">
        <v>513</v>
      </c>
      <c r="F76" s="211" t="s">
        <v>201</v>
      </c>
      <c r="G76" s="201"/>
      <c r="H76" s="201"/>
      <c r="I76" s="201"/>
    </row>
    <row r="77" spans="2:9" x14ac:dyDescent="0.25">
      <c r="B77" s="113"/>
      <c r="C77" s="113"/>
      <c r="D77" s="113"/>
      <c r="E77" s="227" t="s">
        <v>518</v>
      </c>
      <c r="F77" s="226" t="s">
        <v>521</v>
      </c>
      <c r="G77" s="212"/>
      <c r="H77" s="212"/>
      <c r="I77" s="212"/>
    </row>
    <row r="78" spans="2:9" x14ac:dyDescent="0.25">
      <c r="B78" s="113"/>
      <c r="C78" s="113"/>
      <c r="D78" s="113"/>
      <c r="E78" s="228"/>
      <c r="F78" s="226"/>
      <c r="G78" s="212"/>
      <c r="H78" s="212"/>
      <c r="I78" s="212"/>
    </row>
    <row r="79" spans="2:9" s="87" customFormat="1" x14ac:dyDescent="0.25">
      <c r="B79" s="113"/>
      <c r="C79" s="113"/>
      <c r="D79" s="113"/>
      <c r="E79" s="221"/>
      <c r="F79" s="221"/>
      <c r="G79" s="212"/>
      <c r="H79" s="212"/>
      <c r="I79" s="212"/>
    </row>
    <row r="80" spans="2:9" x14ac:dyDescent="0.25">
      <c r="B80" s="113" t="s">
        <v>202</v>
      </c>
      <c r="C80" s="113"/>
      <c r="D80" s="113"/>
      <c r="E80" s="227" t="s">
        <v>522</v>
      </c>
      <c r="F80" s="227" t="s">
        <v>523</v>
      </c>
      <c r="G80" s="212"/>
      <c r="H80" s="212"/>
      <c r="I80" s="212"/>
    </row>
  </sheetData>
  <mergeCells count="45">
    <mergeCell ref="A7:A8"/>
    <mergeCell ref="B7:B8"/>
    <mergeCell ref="C7:E7"/>
    <mergeCell ref="L7:N7"/>
    <mergeCell ref="Q7:Q8"/>
    <mergeCell ref="B38:I38"/>
    <mergeCell ref="C39:D39"/>
    <mergeCell ref="E39:F39"/>
    <mergeCell ref="H39:I39"/>
    <mergeCell ref="C40:I40"/>
    <mergeCell ref="C41:D41"/>
    <mergeCell ref="E41:F41"/>
    <mergeCell ref="C42:D42"/>
    <mergeCell ref="E42:F42"/>
    <mergeCell ref="H42:I42"/>
    <mergeCell ref="H41:I41"/>
    <mergeCell ref="C43:D43"/>
    <mergeCell ref="E43:F43"/>
    <mergeCell ref="H43:I43"/>
    <mergeCell ref="C44:D44"/>
    <mergeCell ref="E44:F44"/>
    <mergeCell ref="H44:I44"/>
    <mergeCell ref="H49:I49"/>
    <mergeCell ref="C45:D45"/>
    <mergeCell ref="E45:F45"/>
    <mergeCell ref="H45:I45"/>
    <mergeCell ref="C47:D47"/>
    <mergeCell ref="E47:F47"/>
    <mergeCell ref="H47:I47"/>
    <mergeCell ref="C52:I52"/>
    <mergeCell ref="C60:I60"/>
    <mergeCell ref="C46:D46"/>
    <mergeCell ref="E46:F46"/>
    <mergeCell ref="H46:I46"/>
    <mergeCell ref="C50:D50"/>
    <mergeCell ref="E50:F50"/>
    <mergeCell ref="H50:I50"/>
    <mergeCell ref="C51:D51"/>
    <mergeCell ref="E51:F51"/>
    <mergeCell ref="H51:I51"/>
    <mergeCell ref="C48:D48"/>
    <mergeCell ref="E48:F48"/>
    <mergeCell ref="H48:I48"/>
    <mergeCell ref="C49:D49"/>
    <mergeCell ref="E49:F49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X94"/>
  <sheetViews>
    <sheetView workbookViewId="0">
      <selection activeCell="C69" sqref="C69:H69"/>
    </sheetView>
  </sheetViews>
  <sheetFormatPr defaultRowHeight="15" x14ac:dyDescent="0.25"/>
  <cols>
    <col min="1" max="1" width="3.42578125" customWidth="1"/>
    <col min="2" max="2" width="25.5703125" customWidth="1"/>
    <col min="3" max="3" width="12" customWidth="1"/>
    <col min="4" max="4" width="25.7109375" customWidth="1"/>
    <col min="5" max="5" width="12.28515625" customWidth="1"/>
    <col min="6" max="6" width="29" customWidth="1"/>
    <col min="7" max="7" width="11.85546875" customWidth="1"/>
    <col min="8" max="8" width="23.28515625" customWidth="1"/>
    <col min="19" max="20" width="8.85546875" style="87"/>
  </cols>
  <sheetData>
    <row r="2" spans="1:24" x14ac:dyDescent="0.25">
      <c r="B2" s="73" t="s">
        <v>412</v>
      </c>
    </row>
    <row r="3" spans="1:24" x14ac:dyDescent="0.25">
      <c r="B3" s="72" t="s">
        <v>413</v>
      </c>
    </row>
    <row r="4" spans="1:24" s="61" customFormat="1" x14ac:dyDescent="0.25">
      <c r="B4" s="72"/>
      <c r="S4" s="87"/>
      <c r="T4" s="87"/>
    </row>
    <row r="5" spans="1:24" ht="15.75" x14ac:dyDescent="0.25">
      <c r="A5" s="71" t="s">
        <v>55</v>
      </c>
    </row>
    <row r="7" spans="1:24" ht="75.599999999999994" customHeight="1" x14ac:dyDescent="0.25">
      <c r="A7" s="372" t="s">
        <v>1</v>
      </c>
      <c r="B7" s="372" t="s">
        <v>2</v>
      </c>
      <c r="C7" s="372" t="s">
        <v>27</v>
      </c>
      <c r="D7" s="372"/>
      <c r="E7" s="372"/>
      <c r="F7" s="69" t="s">
        <v>5</v>
      </c>
      <c r="G7" s="69" t="s">
        <v>6</v>
      </c>
      <c r="H7" s="69" t="s">
        <v>52</v>
      </c>
      <c r="I7" s="372" t="s">
        <v>8</v>
      </c>
      <c r="J7" s="372"/>
      <c r="K7" s="372" t="s">
        <v>9</v>
      </c>
      <c r="L7" s="372"/>
      <c r="M7" s="372" t="s">
        <v>10</v>
      </c>
      <c r="N7" s="372"/>
      <c r="O7" s="372" t="s">
        <v>40</v>
      </c>
      <c r="P7" s="372"/>
      <c r="Q7" s="78" t="s">
        <v>53</v>
      </c>
      <c r="R7" s="78" t="s">
        <v>11</v>
      </c>
      <c r="S7" s="159" t="s">
        <v>180</v>
      </c>
      <c r="T7" s="159" t="s">
        <v>112</v>
      </c>
      <c r="U7" s="372" t="s">
        <v>12</v>
      </c>
      <c r="V7" s="372"/>
      <c r="W7" s="371" t="s">
        <v>13</v>
      </c>
    </row>
    <row r="8" spans="1:24" ht="25.5" x14ac:dyDescent="0.25">
      <c r="A8" s="372"/>
      <c r="B8" s="372"/>
      <c r="C8" s="69" t="s">
        <v>14</v>
      </c>
      <c r="D8" s="69" t="s">
        <v>15</v>
      </c>
      <c r="E8" s="69" t="s">
        <v>16</v>
      </c>
      <c r="F8" s="69" t="s">
        <v>16</v>
      </c>
      <c r="G8" s="69" t="s">
        <v>18</v>
      </c>
      <c r="H8" s="69" t="s">
        <v>19</v>
      </c>
      <c r="I8" s="69" t="s">
        <v>20</v>
      </c>
      <c r="J8" s="69" t="s">
        <v>16</v>
      </c>
      <c r="K8" s="69" t="s">
        <v>21</v>
      </c>
      <c r="L8" s="70" t="s">
        <v>16</v>
      </c>
      <c r="M8" s="70" t="s">
        <v>22</v>
      </c>
      <c r="N8" s="70" t="s">
        <v>16</v>
      </c>
      <c r="O8" s="69" t="s">
        <v>21</v>
      </c>
      <c r="P8" s="69" t="s">
        <v>16</v>
      </c>
      <c r="Q8" s="69" t="s">
        <v>42</v>
      </c>
      <c r="R8" s="69" t="s">
        <v>54</v>
      </c>
      <c r="S8" s="159" t="s">
        <v>296</v>
      </c>
      <c r="T8" s="159" t="s">
        <v>299</v>
      </c>
      <c r="U8" s="69" t="s">
        <v>21</v>
      </c>
      <c r="V8" s="69" t="s">
        <v>16</v>
      </c>
      <c r="W8" s="371"/>
    </row>
    <row r="10" spans="1:24" s="83" customFormat="1" ht="12.75" x14ac:dyDescent="0.2">
      <c r="A10" s="111" t="s">
        <v>24</v>
      </c>
    </row>
    <row r="11" spans="1:24" s="83" customFormat="1" ht="12.75" x14ac:dyDescent="0.2">
      <c r="A11" s="254">
        <v>1</v>
      </c>
      <c r="B11" s="254" t="s">
        <v>59</v>
      </c>
      <c r="C11" s="249">
        <v>5.21</v>
      </c>
      <c r="D11" s="251">
        <v>100</v>
      </c>
      <c r="E11" s="247">
        <v>10</v>
      </c>
      <c r="F11" s="247">
        <v>9</v>
      </c>
      <c r="G11" s="247">
        <v>43</v>
      </c>
      <c r="H11" s="247">
        <v>91</v>
      </c>
      <c r="I11" s="247">
        <v>823</v>
      </c>
      <c r="J11" s="247">
        <v>9</v>
      </c>
      <c r="K11" s="250">
        <v>16.149999999999999</v>
      </c>
      <c r="L11" s="247">
        <v>9</v>
      </c>
      <c r="M11" s="250">
        <v>43.8</v>
      </c>
      <c r="N11" s="247">
        <v>7</v>
      </c>
      <c r="O11" s="250">
        <v>36.78</v>
      </c>
      <c r="P11" s="247">
        <v>9</v>
      </c>
      <c r="Q11" s="250">
        <v>66.459999999999994</v>
      </c>
      <c r="R11" s="247">
        <v>251</v>
      </c>
      <c r="S11" s="247" t="s">
        <v>344</v>
      </c>
      <c r="T11" s="247" t="s">
        <v>183</v>
      </c>
      <c r="U11" s="250">
        <v>63.95</v>
      </c>
      <c r="V11" s="247">
        <v>1</v>
      </c>
      <c r="W11" s="248">
        <f>SUM(E11+J11+L11+N11+P11+V11)</f>
        <v>45</v>
      </c>
      <c r="X11" s="84">
        <f>SUM(W11:W13)/3</f>
        <v>45</v>
      </c>
    </row>
    <row r="12" spans="1:24" s="83" customFormat="1" ht="12.75" x14ac:dyDescent="0.2">
      <c r="A12" s="254">
        <v>2</v>
      </c>
      <c r="B12" s="254" t="s">
        <v>60</v>
      </c>
      <c r="C12" s="249">
        <v>4.91</v>
      </c>
      <c r="D12" s="251">
        <v>100</v>
      </c>
      <c r="E12" s="247">
        <v>10</v>
      </c>
      <c r="F12" s="247">
        <v>9</v>
      </c>
      <c r="G12" s="247">
        <v>43</v>
      </c>
      <c r="H12" s="247">
        <v>95</v>
      </c>
      <c r="I12" s="247">
        <v>802</v>
      </c>
      <c r="J12" s="247">
        <v>9</v>
      </c>
      <c r="K12" s="250">
        <v>16.62</v>
      </c>
      <c r="L12" s="247">
        <v>9</v>
      </c>
      <c r="M12" s="250">
        <v>39.700000000000003</v>
      </c>
      <c r="N12" s="247">
        <v>6</v>
      </c>
      <c r="O12" s="250">
        <v>37.39</v>
      </c>
      <c r="P12" s="247">
        <v>9</v>
      </c>
      <c r="Q12" s="250">
        <v>69.89</v>
      </c>
      <c r="R12" s="247">
        <v>342</v>
      </c>
      <c r="S12" s="247" t="s">
        <v>182</v>
      </c>
      <c r="T12" s="247" t="s">
        <v>183</v>
      </c>
      <c r="U12" s="250">
        <v>62.79</v>
      </c>
      <c r="V12" s="247">
        <v>1</v>
      </c>
      <c r="W12" s="248">
        <f t="shared" ref="W12:W20" si="0">SUM(E12+J12+L12+N12+P12+V12)</f>
        <v>44</v>
      </c>
    </row>
    <row r="13" spans="1:24" s="83" customFormat="1" ht="12.75" x14ac:dyDescent="0.2">
      <c r="A13" s="254">
        <v>3</v>
      </c>
      <c r="B13" s="254" t="s">
        <v>409</v>
      </c>
      <c r="C13" s="249">
        <v>4.33</v>
      </c>
      <c r="D13" s="251">
        <v>100</v>
      </c>
      <c r="E13" s="247">
        <v>10</v>
      </c>
      <c r="F13" s="247">
        <v>9</v>
      </c>
      <c r="G13" s="247">
        <v>47</v>
      </c>
      <c r="H13" s="247">
        <v>90</v>
      </c>
      <c r="I13" s="247">
        <v>818</v>
      </c>
      <c r="J13" s="247">
        <v>9</v>
      </c>
      <c r="K13" s="250">
        <v>18.05</v>
      </c>
      <c r="L13" s="247">
        <v>9</v>
      </c>
      <c r="M13" s="250">
        <v>47.4</v>
      </c>
      <c r="N13" s="247">
        <v>8</v>
      </c>
      <c r="O13" s="250">
        <v>40.56</v>
      </c>
      <c r="P13" s="247">
        <v>9</v>
      </c>
      <c r="Q13" s="250">
        <v>74.55</v>
      </c>
      <c r="R13" s="247">
        <v>441</v>
      </c>
      <c r="S13" s="247" t="s">
        <v>414</v>
      </c>
      <c r="T13" s="247" t="s">
        <v>183</v>
      </c>
      <c r="U13" s="250">
        <v>60.53</v>
      </c>
      <c r="V13" s="247">
        <v>1</v>
      </c>
      <c r="W13" s="248">
        <f t="shared" si="0"/>
        <v>46</v>
      </c>
      <c r="X13" s="83" t="s">
        <v>65</v>
      </c>
    </row>
    <row r="14" spans="1:24" s="83" customFormat="1" ht="12.75" x14ac:dyDescent="0.2">
      <c r="A14" s="271"/>
      <c r="B14" s="271" t="s">
        <v>300</v>
      </c>
      <c r="C14" s="273">
        <f>SUM(C11:C13)/3</f>
        <v>4.8166666666666673</v>
      </c>
      <c r="D14" s="275">
        <v>100</v>
      </c>
      <c r="E14" s="274">
        <v>10</v>
      </c>
      <c r="F14" s="275">
        <f>SUM(F11:F13)/3</f>
        <v>9</v>
      </c>
      <c r="G14" s="275">
        <f>SUM(G11:G13)/3</f>
        <v>44.333333333333336</v>
      </c>
      <c r="H14" s="275">
        <f t="shared" ref="H14:I14" si="1">SUM(H11:H13)/3</f>
        <v>92</v>
      </c>
      <c r="I14" s="275">
        <f t="shared" si="1"/>
        <v>814.33333333333337</v>
      </c>
      <c r="J14" s="274">
        <v>9</v>
      </c>
      <c r="K14" s="276">
        <f>SUM(K11:K13)/3</f>
        <v>16.939999999999998</v>
      </c>
      <c r="L14" s="274">
        <v>9</v>
      </c>
      <c r="M14" s="276">
        <f>SUM(M11:M13)/3</f>
        <v>43.633333333333333</v>
      </c>
      <c r="N14" s="274">
        <v>7</v>
      </c>
      <c r="O14" s="276">
        <f>SUM(O11:O13)/3</f>
        <v>38.243333333333332</v>
      </c>
      <c r="P14" s="274">
        <v>9</v>
      </c>
      <c r="Q14" s="276">
        <f t="shared" ref="Q14:R14" si="2">SUM(Q11:Q13)/3</f>
        <v>70.3</v>
      </c>
      <c r="R14" s="275">
        <f t="shared" si="2"/>
        <v>344.66666666666669</v>
      </c>
      <c r="S14" s="274"/>
      <c r="T14" s="274"/>
      <c r="U14" s="276">
        <f>SUM(U11:U13)/3</f>
        <v>62.423333333333339</v>
      </c>
      <c r="V14" s="274">
        <v>1</v>
      </c>
      <c r="W14" s="281">
        <f t="shared" si="0"/>
        <v>45</v>
      </c>
    </row>
    <row r="15" spans="1:24" s="83" customFormat="1" ht="12.75" x14ac:dyDescent="0.2">
      <c r="A15" s="179">
        <v>4</v>
      </c>
      <c r="B15" s="179" t="s">
        <v>61</v>
      </c>
      <c r="C15" s="188">
        <v>4.6500000000000004</v>
      </c>
      <c r="D15" s="189">
        <f t="shared" ref="D15:D20" si="3">C15*100/AVERAGE($C$11:$C$13)</f>
        <v>96.539792387543258</v>
      </c>
      <c r="E15" s="41">
        <v>10</v>
      </c>
      <c r="F15" s="41">
        <v>9</v>
      </c>
      <c r="G15" s="41">
        <v>42</v>
      </c>
      <c r="H15" s="41">
        <v>90</v>
      </c>
      <c r="I15" s="295">
        <v>815</v>
      </c>
      <c r="J15" s="41">
        <v>9</v>
      </c>
      <c r="K15" s="187">
        <v>17.27</v>
      </c>
      <c r="L15" s="41">
        <v>9</v>
      </c>
      <c r="M15" s="187">
        <v>44.1</v>
      </c>
      <c r="N15" s="41">
        <v>7</v>
      </c>
      <c r="O15" s="187">
        <v>40.159999999999997</v>
      </c>
      <c r="P15" s="41">
        <v>9</v>
      </c>
      <c r="Q15" s="187">
        <v>72.55</v>
      </c>
      <c r="R15" s="190">
        <v>307</v>
      </c>
      <c r="S15" s="160" t="s">
        <v>414</v>
      </c>
      <c r="T15" s="190" t="s">
        <v>183</v>
      </c>
      <c r="U15" s="187">
        <v>62.76</v>
      </c>
      <c r="V15" s="41">
        <v>1</v>
      </c>
      <c r="W15" s="161">
        <f t="shared" si="0"/>
        <v>45</v>
      </c>
    </row>
    <row r="16" spans="1:24" s="83" customFormat="1" ht="12.75" x14ac:dyDescent="0.2">
      <c r="A16" s="179">
        <v>5</v>
      </c>
      <c r="B16" s="179" t="s">
        <v>62</v>
      </c>
      <c r="C16" s="188">
        <v>4.16</v>
      </c>
      <c r="D16" s="189">
        <f t="shared" si="3"/>
        <v>86.366782006920403</v>
      </c>
      <c r="E16" s="41">
        <v>8</v>
      </c>
      <c r="F16" s="41">
        <v>9</v>
      </c>
      <c r="G16" s="41">
        <v>41</v>
      </c>
      <c r="H16" s="41">
        <v>90</v>
      </c>
      <c r="I16" s="295">
        <v>812</v>
      </c>
      <c r="J16" s="41">
        <v>9</v>
      </c>
      <c r="K16" s="187">
        <v>16.850000000000001</v>
      </c>
      <c r="L16" s="41">
        <v>9</v>
      </c>
      <c r="M16" s="187">
        <v>41.7</v>
      </c>
      <c r="N16" s="41">
        <v>6</v>
      </c>
      <c r="O16" s="187">
        <v>38.06</v>
      </c>
      <c r="P16" s="41">
        <v>9</v>
      </c>
      <c r="Q16" s="187">
        <v>70.239999999999995</v>
      </c>
      <c r="R16" s="190">
        <v>262</v>
      </c>
      <c r="S16" s="160" t="s">
        <v>414</v>
      </c>
      <c r="T16" s="190" t="s">
        <v>183</v>
      </c>
      <c r="U16" s="187">
        <v>62.89</v>
      </c>
      <c r="V16" s="41">
        <v>1</v>
      </c>
      <c r="W16" s="161">
        <f t="shared" si="0"/>
        <v>42</v>
      </c>
    </row>
    <row r="17" spans="1:24" s="83" customFormat="1" ht="12.75" x14ac:dyDescent="0.2">
      <c r="A17" s="179">
        <v>6</v>
      </c>
      <c r="B17" s="179" t="s">
        <v>63</v>
      </c>
      <c r="C17" s="188">
        <v>4.57</v>
      </c>
      <c r="D17" s="189">
        <f t="shared" si="3"/>
        <v>94.878892733564001</v>
      </c>
      <c r="E17" s="41">
        <v>8</v>
      </c>
      <c r="F17" s="41">
        <v>9</v>
      </c>
      <c r="G17" s="41">
        <v>40</v>
      </c>
      <c r="H17" s="41">
        <v>91</v>
      </c>
      <c r="I17" s="295">
        <v>829</v>
      </c>
      <c r="J17" s="41">
        <v>9</v>
      </c>
      <c r="K17" s="187">
        <v>16.71</v>
      </c>
      <c r="L17" s="41">
        <v>9</v>
      </c>
      <c r="M17" s="187">
        <v>40</v>
      </c>
      <c r="N17" s="41">
        <v>6</v>
      </c>
      <c r="O17" s="187">
        <v>37.729999999999997</v>
      </c>
      <c r="P17" s="41">
        <v>9</v>
      </c>
      <c r="Q17" s="187">
        <v>70.92</v>
      </c>
      <c r="R17" s="190">
        <v>290</v>
      </c>
      <c r="S17" s="160" t="s">
        <v>344</v>
      </c>
      <c r="T17" s="190" t="s">
        <v>183</v>
      </c>
      <c r="U17" s="187">
        <v>63.38</v>
      </c>
      <c r="V17" s="41">
        <v>1</v>
      </c>
      <c r="W17" s="161">
        <f t="shared" si="0"/>
        <v>42</v>
      </c>
    </row>
    <row r="18" spans="1:24" s="83" customFormat="1" ht="12.75" x14ac:dyDescent="0.2">
      <c r="A18" s="179">
        <v>7</v>
      </c>
      <c r="B18" s="179" t="s">
        <v>410</v>
      </c>
      <c r="C18" s="188">
        <v>4.59</v>
      </c>
      <c r="D18" s="189">
        <f t="shared" si="3"/>
        <v>95.294117647058812</v>
      </c>
      <c r="E18" s="41">
        <v>8</v>
      </c>
      <c r="F18" s="41">
        <v>9</v>
      </c>
      <c r="G18" s="41">
        <v>44</v>
      </c>
      <c r="H18" s="41">
        <v>91</v>
      </c>
      <c r="I18" s="295">
        <v>818</v>
      </c>
      <c r="J18" s="41">
        <v>9</v>
      </c>
      <c r="K18" s="187">
        <v>17.48</v>
      </c>
      <c r="L18" s="41">
        <v>9</v>
      </c>
      <c r="M18" s="187">
        <v>44.9</v>
      </c>
      <c r="N18" s="41">
        <v>7</v>
      </c>
      <c r="O18" s="187">
        <v>40.54</v>
      </c>
      <c r="P18" s="41">
        <v>9</v>
      </c>
      <c r="Q18" s="187">
        <v>73.5</v>
      </c>
      <c r="R18" s="190">
        <v>349</v>
      </c>
      <c r="S18" s="160" t="s">
        <v>344</v>
      </c>
      <c r="T18" s="190" t="s">
        <v>183</v>
      </c>
      <c r="U18" s="187">
        <v>62.49</v>
      </c>
      <c r="V18" s="41">
        <v>1</v>
      </c>
      <c r="W18" s="161">
        <f t="shared" si="0"/>
        <v>43</v>
      </c>
    </row>
    <row r="19" spans="1:24" s="83" customFormat="1" ht="12.75" x14ac:dyDescent="0.2">
      <c r="A19" s="179">
        <v>8</v>
      </c>
      <c r="B19" s="179" t="s">
        <v>411</v>
      </c>
      <c r="C19" s="188">
        <v>3.84</v>
      </c>
      <c r="D19" s="189">
        <f t="shared" si="3"/>
        <v>79.723183391003445</v>
      </c>
      <c r="E19" s="295">
        <v>6</v>
      </c>
      <c r="F19" s="295">
        <v>9</v>
      </c>
      <c r="G19" s="295">
        <v>46</v>
      </c>
      <c r="H19" s="295">
        <v>91</v>
      </c>
      <c r="I19" s="295">
        <v>821</v>
      </c>
      <c r="J19" s="295">
        <v>9</v>
      </c>
      <c r="K19" s="187">
        <v>18.21</v>
      </c>
      <c r="L19" s="295">
        <v>9</v>
      </c>
      <c r="M19" s="187">
        <v>36.200000000000003</v>
      </c>
      <c r="N19" s="295">
        <v>5</v>
      </c>
      <c r="O19" s="187">
        <v>41.74</v>
      </c>
      <c r="P19" s="295">
        <v>9</v>
      </c>
      <c r="Q19" s="187">
        <v>75.97</v>
      </c>
      <c r="R19" s="190">
        <v>479</v>
      </c>
      <c r="S19" s="295" t="s">
        <v>344</v>
      </c>
      <c r="T19" s="190" t="s">
        <v>183</v>
      </c>
      <c r="U19" s="187">
        <v>62.15</v>
      </c>
      <c r="V19" s="295">
        <v>1</v>
      </c>
      <c r="W19" s="161">
        <f t="shared" si="0"/>
        <v>39</v>
      </c>
    </row>
    <row r="20" spans="1:24" s="83" customFormat="1" ht="12.75" x14ac:dyDescent="0.2">
      <c r="A20" s="179">
        <v>9</v>
      </c>
      <c r="B20" s="179" t="s">
        <v>408</v>
      </c>
      <c r="C20" s="188">
        <v>3.96</v>
      </c>
      <c r="D20" s="189">
        <f t="shared" si="3"/>
        <v>82.21453287197231</v>
      </c>
      <c r="E20" s="41">
        <v>6</v>
      </c>
      <c r="F20" s="41">
        <v>9</v>
      </c>
      <c r="G20" s="41">
        <v>42</v>
      </c>
      <c r="H20" s="41">
        <v>91</v>
      </c>
      <c r="I20" s="295">
        <v>800</v>
      </c>
      <c r="J20" s="41">
        <v>9</v>
      </c>
      <c r="K20" s="187">
        <v>16.97</v>
      </c>
      <c r="L20" s="41">
        <v>9</v>
      </c>
      <c r="M20" s="187">
        <v>39.4</v>
      </c>
      <c r="N20" s="41">
        <v>6</v>
      </c>
      <c r="O20" s="187">
        <v>38.1</v>
      </c>
      <c r="P20" s="41">
        <v>9</v>
      </c>
      <c r="Q20" s="187">
        <v>69.92</v>
      </c>
      <c r="R20" s="190">
        <v>192</v>
      </c>
      <c r="S20" s="160" t="s">
        <v>344</v>
      </c>
      <c r="T20" s="190" t="s">
        <v>183</v>
      </c>
      <c r="U20" s="187">
        <v>61.96</v>
      </c>
      <c r="V20" s="41">
        <v>1</v>
      </c>
      <c r="W20" s="161">
        <f t="shared" si="0"/>
        <v>40</v>
      </c>
    </row>
    <row r="21" spans="1:24" x14ac:dyDescent="0.25">
      <c r="B21" s="298"/>
      <c r="R21" s="197"/>
    </row>
    <row r="22" spans="1:24" s="83" customFormat="1" ht="12.75" x14ac:dyDescent="0.2">
      <c r="A22" s="111" t="s">
        <v>295</v>
      </c>
      <c r="R22" s="198"/>
    </row>
    <row r="23" spans="1:24" s="83" customFormat="1" ht="12.75" x14ac:dyDescent="0.2">
      <c r="A23" s="254">
        <v>1</v>
      </c>
      <c r="B23" s="254" t="s">
        <v>59</v>
      </c>
      <c r="C23" s="249">
        <v>5.88</v>
      </c>
      <c r="D23" s="251">
        <v>100</v>
      </c>
      <c r="E23" s="247">
        <v>10</v>
      </c>
      <c r="F23" s="247">
        <v>9</v>
      </c>
      <c r="G23" s="247">
        <v>78</v>
      </c>
      <c r="H23" s="247">
        <v>96</v>
      </c>
      <c r="I23" s="247">
        <v>817</v>
      </c>
      <c r="J23" s="247">
        <v>9</v>
      </c>
      <c r="K23" s="250">
        <v>14.7</v>
      </c>
      <c r="L23" s="247">
        <v>8</v>
      </c>
      <c r="M23" s="250">
        <v>44.27</v>
      </c>
      <c r="N23" s="247">
        <v>7</v>
      </c>
      <c r="O23" s="250">
        <v>30.94</v>
      </c>
      <c r="P23" s="247">
        <v>9</v>
      </c>
      <c r="Q23" s="250">
        <v>56.71</v>
      </c>
      <c r="R23" s="247">
        <v>280</v>
      </c>
      <c r="S23" s="247" t="s">
        <v>184</v>
      </c>
      <c r="T23" s="247" t="s">
        <v>185</v>
      </c>
      <c r="U23" s="250">
        <v>66.52</v>
      </c>
      <c r="V23" s="247">
        <v>4</v>
      </c>
      <c r="W23" s="248">
        <f>SUM(E23+J23+L23+N23+P23+V23)</f>
        <v>47</v>
      </c>
      <c r="X23" s="84">
        <f>SUM(W23:W25)/3</f>
        <v>45.333333333333336</v>
      </c>
    </row>
    <row r="24" spans="1:24" s="83" customFormat="1" ht="12.75" x14ac:dyDescent="0.2">
      <c r="A24" s="254">
        <v>2</v>
      </c>
      <c r="B24" s="254" t="s">
        <v>60</v>
      </c>
      <c r="C24" s="249">
        <v>6.26</v>
      </c>
      <c r="D24" s="251">
        <v>100</v>
      </c>
      <c r="E24" s="247">
        <v>10</v>
      </c>
      <c r="F24" s="247">
        <v>9</v>
      </c>
      <c r="G24" s="247">
        <v>81</v>
      </c>
      <c r="H24" s="247">
        <v>98</v>
      </c>
      <c r="I24" s="247">
        <v>788</v>
      </c>
      <c r="J24" s="247">
        <v>8</v>
      </c>
      <c r="K24" s="250">
        <v>15.27</v>
      </c>
      <c r="L24" s="247">
        <v>8</v>
      </c>
      <c r="M24" s="250">
        <v>42.01</v>
      </c>
      <c r="N24" s="247">
        <v>7</v>
      </c>
      <c r="O24" s="250">
        <v>32.19</v>
      </c>
      <c r="P24" s="247">
        <v>9</v>
      </c>
      <c r="Q24" s="250">
        <v>61.48</v>
      </c>
      <c r="R24" s="247">
        <v>324</v>
      </c>
      <c r="S24" s="247" t="s">
        <v>186</v>
      </c>
      <c r="T24" s="247" t="s">
        <v>185</v>
      </c>
      <c r="U24" s="250">
        <v>64.05</v>
      </c>
      <c r="V24" s="247">
        <v>1</v>
      </c>
      <c r="W24" s="248">
        <f t="shared" ref="W24:W32" si="4">SUM(E24+J24+L24+N24+P24+V24)</f>
        <v>43</v>
      </c>
    </row>
    <row r="25" spans="1:24" s="83" customFormat="1" ht="12.75" x14ac:dyDescent="0.2">
      <c r="A25" s="254">
        <v>3</v>
      </c>
      <c r="B25" s="254" t="s">
        <v>409</v>
      </c>
      <c r="C25" s="249">
        <v>6.12</v>
      </c>
      <c r="D25" s="251">
        <v>100</v>
      </c>
      <c r="E25" s="247">
        <v>10</v>
      </c>
      <c r="F25" s="247">
        <v>9</v>
      </c>
      <c r="G25" s="247">
        <v>81</v>
      </c>
      <c r="H25" s="247">
        <v>96</v>
      </c>
      <c r="I25" s="247">
        <v>811</v>
      </c>
      <c r="J25" s="247">
        <v>9</v>
      </c>
      <c r="K25" s="250">
        <v>15.74</v>
      </c>
      <c r="L25" s="247">
        <v>8</v>
      </c>
      <c r="M25" s="250">
        <v>50.87</v>
      </c>
      <c r="N25" s="247">
        <v>9</v>
      </c>
      <c r="O25" s="250">
        <v>33.33</v>
      </c>
      <c r="P25" s="247">
        <v>9</v>
      </c>
      <c r="Q25" s="250">
        <v>63.36</v>
      </c>
      <c r="R25" s="247">
        <v>412</v>
      </c>
      <c r="S25" s="247" t="s">
        <v>184</v>
      </c>
      <c r="T25" s="247" t="s">
        <v>185</v>
      </c>
      <c r="U25" s="250">
        <v>63.31</v>
      </c>
      <c r="V25" s="247">
        <v>1</v>
      </c>
      <c r="W25" s="248">
        <f t="shared" si="4"/>
        <v>46</v>
      </c>
      <c r="X25" s="83" t="s">
        <v>65</v>
      </c>
    </row>
    <row r="26" spans="1:24" s="83" customFormat="1" ht="12.75" x14ac:dyDescent="0.2">
      <c r="A26" s="271"/>
      <c r="B26" s="271" t="s">
        <v>300</v>
      </c>
      <c r="C26" s="273">
        <f>SUM(C23:C25)/3</f>
        <v>6.0866666666666669</v>
      </c>
      <c r="D26" s="275">
        <v>100</v>
      </c>
      <c r="E26" s="274">
        <v>10</v>
      </c>
      <c r="F26" s="275">
        <f t="shared" ref="F26:I26" si="5">SUM(F23:F25)/3</f>
        <v>9</v>
      </c>
      <c r="G26" s="275">
        <f t="shared" si="5"/>
        <v>80</v>
      </c>
      <c r="H26" s="275">
        <f t="shared" si="5"/>
        <v>96.666666666666671</v>
      </c>
      <c r="I26" s="275">
        <f t="shared" si="5"/>
        <v>805.33333333333337</v>
      </c>
      <c r="J26" s="274">
        <v>9</v>
      </c>
      <c r="K26" s="276">
        <f>SUM(K23:K25)/3</f>
        <v>15.236666666666666</v>
      </c>
      <c r="L26" s="276">
        <v>8</v>
      </c>
      <c r="M26" s="276">
        <f>SUM(M23:M25)/3</f>
        <v>45.716666666666669</v>
      </c>
      <c r="N26" s="276">
        <v>7</v>
      </c>
      <c r="O26" s="276">
        <f>SUM(O23:O25)/3</f>
        <v>32.153333333333329</v>
      </c>
      <c r="P26" s="275">
        <v>9</v>
      </c>
      <c r="Q26" s="276">
        <f>SUM(Q23:Q25)/3</f>
        <v>60.516666666666673</v>
      </c>
      <c r="R26" s="275">
        <f>SUM(R23:R25)/3</f>
        <v>338.66666666666669</v>
      </c>
      <c r="S26" s="274"/>
      <c r="T26" s="274"/>
      <c r="U26" s="276">
        <f>SUM(U23:U25)/3</f>
        <v>64.626666666666665</v>
      </c>
      <c r="V26" s="274">
        <v>1</v>
      </c>
      <c r="W26" s="281">
        <f t="shared" si="4"/>
        <v>44</v>
      </c>
    </row>
    <row r="27" spans="1:24" s="83" customFormat="1" ht="12.75" x14ac:dyDescent="0.2">
      <c r="A27" s="179">
        <v>4</v>
      </c>
      <c r="B27" s="179" t="s">
        <v>61</v>
      </c>
      <c r="C27" s="188">
        <v>6.75</v>
      </c>
      <c r="D27" s="189">
        <f t="shared" ref="D27:D32" si="6">C27*100/AVERAGE($C$23:$C$25)</f>
        <v>110.89813800657174</v>
      </c>
      <c r="E27" s="41">
        <v>12</v>
      </c>
      <c r="F27" s="41">
        <v>9</v>
      </c>
      <c r="G27" s="41">
        <v>81</v>
      </c>
      <c r="H27" s="41">
        <v>96</v>
      </c>
      <c r="I27" s="297">
        <v>804</v>
      </c>
      <c r="J27" s="41">
        <v>9</v>
      </c>
      <c r="K27" s="187">
        <v>15.56</v>
      </c>
      <c r="L27" s="41">
        <v>8</v>
      </c>
      <c r="M27" s="45">
        <v>46.96</v>
      </c>
      <c r="N27" s="41">
        <v>8</v>
      </c>
      <c r="O27" s="187">
        <v>33.42</v>
      </c>
      <c r="P27" s="41">
        <v>9</v>
      </c>
      <c r="Q27" s="187">
        <v>62.71</v>
      </c>
      <c r="R27" s="190">
        <v>256</v>
      </c>
      <c r="S27" s="160" t="s">
        <v>184</v>
      </c>
      <c r="T27" s="190" t="s">
        <v>185</v>
      </c>
      <c r="U27" s="187">
        <v>65.33</v>
      </c>
      <c r="V27" s="41">
        <v>2</v>
      </c>
      <c r="W27" s="161">
        <f t="shared" si="4"/>
        <v>48</v>
      </c>
    </row>
    <row r="28" spans="1:24" s="83" customFormat="1" ht="12.75" x14ac:dyDescent="0.2">
      <c r="A28" s="179">
        <v>5</v>
      </c>
      <c r="B28" s="179" t="s">
        <v>62</v>
      </c>
      <c r="C28" s="188">
        <v>6.33</v>
      </c>
      <c r="D28" s="189">
        <f t="shared" si="6"/>
        <v>103.99780941949616</v>
      </c>
      <c r="E28" s="41">
        <v>10</v>
      </c>
      <c r="F28" s="41">
        <v>9</v>
      </c>
      <c r="G28" s="41">
        <v>81</v>
      </c>
      <c r="H28" s="41">
        <v>98</v>
      </c>
      <c r="I28" s="297">
        <v>814</v>
      </c>
      <c r="J28" s="41">
        <v>9</v>
      </c>
      <c r="K28" s="187">
        <v>16.25</v>
      </c>
      <c r="L28" s="41">
        <v>9</v>
      </c>
      <c r="M28" s="45">
        <v>47.11</v>
      </c>
      <c r="N28" s="41">
        <v>8</v>
      </c>
      <c r="O28" s="187">
        <v>34.979999999999997</v>
      </c>
      <c r="P28" s="41">
        <v>9</v>
      </c>
      <c r="Q28" s="187">
        <v>68.2</v>
      </c>
      <c r="R28" s="190">
        <v>293</v>
      </c>
      <c r="S28" s="160" t="s">
        <v>186</v>
      </c>
      <c r="T28" s="190" t="s">
        <v>185</v>
      </c>
      <c r="U28" s="187">
        <v>63.16</v>
      </c>
      <c r="V28" s="41">
        <v>1</v>
      </c>
      <c r="W28" s="161">
        <f t="shared" si="4"/>
        <v>46</v>
      </c>
    </row>
    <row r="29" spans="1:24" s="83" customFormat="1" ht="12.75" x14ac:dyDescent="0.2">
      <c r="A29" s="179">
        <v>6</v>
      </c>
      <c r="B29" s="179" t="s">
        <v>63</v>
      </c>
      <c r="C29" s="188">
        <v>6.3</v>
      </c>
      <c r="D29" s="189">
        <f t="shared" si="6"/>
        <v>103.50492880613362</v>
      </c>
      <c r="E29" s="41">
        <v>10</v>
      </c>
      <c r="F29" s="41">
        <v>9</v>
      </c>
      <c r="G29" s="41">
        <v>73</v>
      </c>
      <c r="H29" s="41">
        <v>98</v>
      </c>
      <c r="I29" s="297">
        <v>825</v>
      </c>
      <c r="J29" s="41">
        <v>9</v>
      </c>
      <c r="K29" s="187">
        <v>15.14</v>
      </c>
      <c r="L29" s="41">
        <v>8</v>
      </c>
      <c r="M29" s="45">
        <v>44.01</v>
      </c>
      <c r="N29" s="41">
        <v>7</v>
      </c>
      <c r="O29" s="187">
        <v>31.73</v>
      </c>
      <c r="P29" s="41">
        <v>9</v>
      </c>
      <c r="Q29" s="187">
        <v>61.84</v>
      </c>
      <c r="R29" s="190">
        <v>300</v>
      </c>
      <c r="S29" s="160" t="s">
        <v>186</v>
      </c>
      <c r="T29" s="190" t="s">
        <v>185</v>
      </c>
      <c r="U29" s="187">
        <v>65.569999999999993</v>
      </c>
      <c r="V29" s="41">
        <v>2</v>
      </c>
      <c r="W29" s="161">
        <f t="shared" si="4"/>
        <v>45</v>
      </c>
    </row>
    <row r="30" spans="1:24" s="83" customFormat="1" ht="12.75" x14ac:dyDescent="0.2">
      <c r="A30" s="179">
        <v>7</v>
      </c>
      <c r="B30" s="179" t="s">
        <v>410</v>
      </c>
      <c r="C30" s="188">
        <v>6.47</v>
      </c>
      <c r="D30" s="189">
        <f t="shared" si="6"/>
        <v>106.29791894852136</v>
      </c>
      <c r="E30" s="41">
        <v>12</v>
      </c>
      <c r="F30" s="41">
        <v>9</v>
      </c>
      <c r="G30" s="41">
        <v>75</v>
      </c>
      <c r="H30" s="41">
        <v>96</v>
      </c>
      <c r="I30" s="297">
        <v>795</v>
      </c>
      <c r="J30" s="41">
        <v>8</v>
      </c>
      <c r="K30" s="187">
        <v>15.19</v>
      </c>
      <c r="L30" s="41">
        <v>8</v>
      </c>
      <c r="M30" s="45">
        <v>44.91</v>
      </c>
      <c r="N30" s="41">
        <v>7</v>
      </c>
      <c r="O30" s="187">
        <v>32.869999999999997</v>
      </c>
      <c r="P30" s="41">
        <v>9</v>
      </c>
      <c r="Q30" s="187">
        <v>61.25</v>
      </c>
      <c r="R30" s="190">
        <v>304</v>
      </c>
      <c r="S30" s="160" t="s">
        <v>184</v>
      </c>
      <c r="T30" s="190" t="s">
        <v>185</v>
      </c>
      <c r="U30" s="187">
        <v>65.37</v>
      </c>
      <c r="V30" s="41">
        <v>2</v>
      </c>
      <c r="W30" s="161">
        <f t="shared" si="4"/>
        <v>46</v>
      </c>
    </row>
    <row r="31" spans="1:24" s="83" customFormat="1" ht="12.75" x14ac:dyDescent="0.2">
      <c r="A31" s="179">
        <v>8</v>
      </c>
      <c r="B31" s="179" t="s">
        <v>411</v>
      </c>
      <c r="C31" s="188">
        <v>6.16</v>
      </c>
      <c r="D31" s="189">
        <f t="shared" si="6"/>
        <v>101.20481927710843</v>
      </c>
      <c r="E31" s="295">
        <v>10</v>
      </c>
      <c r="F31" s="295">
        <v>9</v>
      </c>
      <c r="G31" s="295">
        <v>81</v>
      </c>
      <c r="H31" s="295">
        <v>96</v>
      </c>
      <c r="I31" s="297">
        <v>815</v>
      </c>
      <c r="J31" s="295">
        <v>9</v>
      </c>
      <c r="K31" s="187">
        <v>15.75</v>
      </c>
      <c r="L31" s="295">
        <v>8</v>
      </c>
      <c r="M31" s="187">
        <v>39.32</v>
      </c>
      <c r="N31" s="295">
        <v>6</v>
      </c>
      <c r="O31" s="187">
        <v>34.299999999999997</v>
      </c>
      <c r="P31" s="295">
        <v>9</v>
      </c>
      <c r="Q31" s="187">
        <v>64.36</v>
      </c>
      <c r="R31" s="190">
        <v>393</v>
      </c>
      <c r="S31" s="295" t="s">
        <v>184</v>
      </c>
      <c r="T31" s="190" t="s">
        <v>185</v>
      </c>
      <c r="U31" s="187">
        <v>65.66</v>
      </c>
      <c r="V31" s="295">
        <v>3</v>
      </c>
      <c r="W31" s="161">
        <f t="shared" si="4"/>
        <v>45</v>
      </c>
    </row>
    <row r="32" spans="1:24" s="83" customFormat="1" ht="12.75" x14ac:dyDescent="0.2">
      <c r="A32" s="179">
        <v>9</v>
      </c>
      <c r="B32" s="179" t="s">
        <v>408</v>
      </c>
      <c r="C32" s="188">
        <v>5.55</v>
      </c>
      <c r="D32" s="189">
        <f t="shared" si="6"/>
        <v>91.182913472070098</v>
      </c>
      <c r="E32" s="41">
        <v>8</v>
      </c>
      <c r="F32" s="41">
        <v>9</v>
      </c>
      <c r="G32" s="41">
        <v>74</v>
      </c>
      <c r="H32" s="41">
        <v>96</v>
      </c>
      <c r="I32" s="297">
        <v>785</v>
      </c>
      <c r="J32" s="41">
        <v>7</v>
      </c>
      <c r="K32" s="187">
        <v>16.3</v>
      </c>
      <c r="L32" s="41">
        <v>9</v>
      </c>
      <c r="M32" s="45">
        <v>41.76</v>
      </c>
      <c r="N32" s="41">
        <v>6</v>
      </c>
      <c r="O32" s="187">
        <v>34.68</v>
      </c>
      <c r="P32" s="41">
        <v>9</v>
      </c>
      <c r="Q32" s="187">
        <v>66.38</v>
      </c>
      <c r="R32" s="190">
        <v>190</v>
      </c>
      <c r="S32" s="160" t="s">
        <v>184</v>
      </c>
      <c r="T32" s="190" t="s">
        <v>185</v>
      </c>
      <c r="U32" s="187">
        <v>62.76</v>
      </c>
      <c r="V32" s="41">
        <v>1</v>
      </c>
      <c r="W32" s="161">
        <f t="shared" si="4"/>
        <v>40</v>
      </c>
    </row>
    <row r="34" spans="1:24" s="83" customFormat="1" ht="12.75" x14ac:dyDescent="0.2">
      <c r="A34" s="99" t="s">
        <v>64</v>
      </c>
    </row>
    <row r="35" spans="1:24" s="83" customFormat="1" ht="12.75" x14ac:dyDescent="0.2">
      <c r="A35" s="254">
        <v>1</v>
      </c>
      <c r="B35" s="254" t="s">
        <v>59</v>
      </c>
      <c r="C35" s="249">
        <v>3.22</v>
      </c>
      <c r="D35" s="251">
        <v>100</v>
      </c>
      <c r="E35" s="247">
        <v>10</v>
      </c>
      <c r="F35" s="247">
        <v>9</v>
      </c>
      <c r="G35" s="247">
        <v>49</v>
      </c>
      <c r="H35" s="247">
        <v>93</v>
      </c>
      <c r="I35" s="247">
        <v>796</v>
      </c>
      <c r="J35" s="247">
        <v>8</v>
      </c>
      <c r="K35" s="250">
        <v>15.4</v>
      </c>
      <c r="L35" s="247">
        <v>8</v>
      </c>
      <c r="M35" s="250">
        <v>38.74</v>
      </c>
      <c r="N35" s="247">
        <v>6</v>
      </c>
      <c r="O35" s="250">
        <v>33.15</v>
      </c>
      <c r="P35" s="247">
        <v>9</v>
      </c>
      <c r="Q35" s="250">
        <v>59.07</v>
      </c>
      <c r="R35" s="247">
        <v>257</v>
      </c>
      <c r="S35" s="247" t="s">
        <v>182</v>
      </c>
      <c r="T35" s="247" t="s">
        <v>184</v>
      </c>
      <c r="U35" s="250">
        <v>64.760000000000005</v>
      </c>
      <c r="V35" s="247">
        <v>1</v>
      </c>
      <c r="W35" s="248">
        <f>SUM(E35+J35+L35+N35+P35+V35)</f>
        <v>42</v>
      </c>
      <c r="X35" s="84">
        <f>SUM(W35:W37)/3</f>
        <v>43.333333333333336</v>
      </c>
    </row>
    <row r="36" spans="1:24" s="83" customFormat="1" ht="12.75" x14ac:dyDescent="0.2">
      <c r="A36" s="254">
        <v>2</v>
      </c>
      <c r="B36" s="254" t="s">
        <v>60</v>
      </c>
      <c r="C36" s="249">
        <v>3.58</v>
      </c>
      <c r="D36" s="251">
        <v>100</v>
      </c>
      <c r="E36" s="247">
        <v>10</v>
      </c>
      <c r="F36" s="247">
        <v>9</v>
      </c>
      <c r="G36" s="247">
        <v>46</v>
      </c>
      <c r="H36" s="247">
        <v>94</v>
      </c>
      <c r="I36" s="247">
        <v>786</v>
      </c>
      <c r="J36" s="247">
        <v>8</v>
      </c>
      <c r="K36" s="250">
        <v>15.48</v>
      </c>
      <c r="L36" s="247">
        <v>8</v>
      </c>
      <c r="M36" s="250">
        <v>42.39</v>
      </c>
      <c r="N36" s="247">
        <v>7</v>
      </c>
      <c r="O36" s="250">
        <v>33.29</v>
      </c>
      <c r="P36" s="247">
        <v>9</v>
      </c>
      <c r="Q36" s="250">
        <v>59.72</v>
      </c>
      <c r="R36" s="247">
        <v>316</v>
      </c>
      <c r="S36" s="247" t="s">
        <v>386</v>
      </c>
      <c r="T36" s="247" t="s">
        <v>184</v>
      </c>
      <c r="U36" s="250">
        <v>64.11</v>
      </c>
      <c r="V36" s="247">
        <v>1</v>
      </c>
      <c r="W36" s="248">
        <f t="shared" ref="W36:W44" si="7">SUM(E36+J36+L36+N36+P36+V36)</f>
        <v>43</v>
      </c>
    </row>
    <row r="37" spans="1:24" s="83" customFormat="1" ht="12.75" x14ac:dyDescent="0.2">
      <c r="A37" s="254">
        <v>3</v>
      </c>
      <c r="B37" s="254" t="s">
        <v>409</v>
      </c>
      <c r="C37" s="249">
        <v>3.62</v>
      </c>
      <c r="D37" s="251">
        <v>100</v>
      </c>
      <c r="E37" s="247">
        <v>10</v>
      </c>
      <c r="F37" s="247">
        <v>9</v>
      </c>
      <c r="G37" s="247">
        <v>48</v>
      </c>
      <c r="H37" s="247">
        <v>94</v>
      </c>
      <c r="I37" s="247">
        <v>805</v>
      </c>
      <c r="J37" s="247">
        <v>9</v>
      </c>
      <c r="K37" s="250">
        <v>15.6</v>
      </c>
      <c r="L37" s="247">
        <v>8</v>
      </c>
      <c r="M37" s="250">
        <v>47.15</v>
      </c>
      <c r="N37" s="247">
        <v>8</v>
      </c>
      <c r="O37" s="250">
        <v>35.119999999999997</v>
      </c>
      <c r="P37" s="247">
        <v>9</v>
      </c>
      <c r="Q37" s="250">
        <v>62</v>
      </c>
      <c r="R37" s="247">
        <v>428</v>
      </c>
      <c r="S37" s="247" t="s">
        <v>386</v>
      </c>
      <c r="T37" s="247" t="s">
        <v>184</v>
      </c>
      <c r="U37" s="250">
        <v>64.19</v>
      </c>
      <c r="V37" s="247">
        <v>1</v>
      </c>
      <c r="W37" s="248">
        <f t="shared" si="7"/>
        <v>45</v>
      </c>
      <c r="X37" s="83" t="s">
        <v>65</v>
      </c>
    </row>
    <row r="38" spans="1:24" s="83" customFormat="1" ht="12.75" x14ac:dyDescent="0.2">
      <c r="A38" s="271"/>
      <c r="B38" s="271" t="s">
        <v>300</v>
      </c>
      <c r="C38" s="273">
        <f>SUM(C35:C37)/3</f>
        <v>3.473333333333334</v>
      </c>
      <c r="D38" s="275">
        <v>100</v>
      </c>
      <c r="E38" s="274">
        <v>10</v>
      </c>
      <c r="F38" s="275">
        <f t="shared" ref="F38:I38" si="8">SUM(F35:F37)/3</f>
        <v>9</v>
      </c>
      <c r="G38" s="275">
        <f t="shared" si="8"/>
        <v>47.666666666666664</v>
      </c>
      <c r="H38" s="275">
        <f t="shared" si="8"/>
        <v>93.666666666666671</v>
      </c>
      <c r="I38" s="275">
        <f t="shared" si="8"/>
        <v>795.66666666666663</v>
      </c>
      <c r="J38" s="274">
        <v>8</v>
      </c>
      <c r="K38" s="276">
        <f>SUM(K35:K37)/3</f>
        <v>15.493333333333334</v>
      </c>
      <c r="L38" s="274">
        <v>8</v>
      </c>
      <c r="M38" s="276">
        <f>SUM(M35:M37)/3</f>
        <v>42.76</v>
      </c>
      <c r="N38" s="274">
        <v>7</v>
      </c>
      <c r="O38" s="276">
        <f>SUM(O35:O37)/3</f>
        <v>33.853333333333332</v>
      </c>
      <c r="P38" s="274">
        <v>9</v>
      </c>
      <c r="Q38" s="276">
        <f>SUM(Q35:Q37)/3</f>
        <v>60.263333333333328</v>
      </c>
      <c r="R38" s="275">
        <f>SUM(R35:R37)/3</f>
        <v>333.66666666666669</v>
      </c>
      <c r="S38" s="274"/>
      <c r="T38" s="274"/>
      <c r="U38" s="276">
        <f>SUM(U35:U37)/3</f>
        <v>64.353333333333339</v>
      </c>
      <c r="V38" s="274">
        <v>1</v>
      </c>
      <c r="W38" s="281">
        <f t="shared" si="7"/>
        <v>43</v>
      </c>
    </row>
    <row r="39" spans="1:24" s="83" customFormat="1" ht="12.75" x14ac:dyDescent="0.2">
      <c r="A39" s="179">
        <v>4</v>
      </c>
      <c r="B39" s="179" t="s">
        <v>61</v>
      </c>
      <c r="C39" s="188">
        <v>3.64</v>
      </c>
      <c r="D39" s="189">
        <f t="shared" ref="D39:D44" si="9">C39*100/AVERAGE($C$35:$C$37)</f>
        <v>104.79846449136274</v>
      </c>
      <c r="E39" s="41">
        <v>10</v>
      </c>
      <c r="F39" s="41">
        <v>9</v>
      </c>
      <c r="G39" s="41">
        <v>49</v>
      </c>
      <c r="H39" s="41">
        <v>94</v>
      </c>
      <c r="I39" s="295">
        <v>800</v>
      </c>
      <c r="J39" s="41">
        <v>9</v>
      </c>
      <c r="K39" s="187">
        <v>15.98</v>
      </c>
      <c r="L39" s="41">
        <v>8</v>
      </c>
      <c r="M39" s="187">
        <v>43.87</v>
      </c>
      <c r="N39" s="41">
        <v>7</v>
      </c>
      <c r="O39" s="187">
        <v>35.97</v>
      </c>
      <c r="P39" s="41">
        <v>9</v>
      </c>
      <c r="Q39" s="187">
        <v>63.57</v>
      </c>
      <c r="R39" s="295">
        <v>252</v>
      </c>
      <c r="S39" s="160" t="s">
        <v>386</v>
      </c>
      <c r="T39" s="190" t="s">
        <v>184</v>
      </c>
      <c r="U39" s="187">
        <v>64.37</v>
      </c>
      <c r="V39" s="41">
        <v>1</v>
      </c>
      <c r="W39" s="161">
        <f t="shared" si="7"/>
        <v>44</v>
      </c>
    </row>
    <row r="40" spans="1:24" s="83" customFormat="1" ht="12.75" x14ac:dyDescent="0.2">
      <c r="A40" s="179">
        <v>5</v>
      </c>
      <c r="B40" s="179" t="s">
        <v>62</v>
      </c>
      <c r="C40" s="188">
        <v>3.11</v>
      </c>
      <c r="D40" s="189">
        <f t="shared" si="9"/>
        <v>89.539347408829158</v>
      </c>
      <c r="E40" s="41">
        <v>8</v>
      </c>
      <c r="F40" s="41">
        <v>9</v>
      </c>
      <c r="G40" s="41">
        <v>39</v>
      </c>
      <c r="H40" s="41">
        <v>93</v>
      </c>
      <c r="I40" s="41">
        <v>798</v>
      </c>
      <c r="J40" s="41">
        <v>8</v>
      </c>
      <c r="K40" s="187">
        <v>16.3</v>
      </c>
      <c r="L40" s="41">
        <v>9</v>
      </c>
      <c r="M40" s="187">
        <v>43.87</v>
      </c>
      <c r="N40" s="41">
        <v>7</v>
      </c>
      <c r="O40" s="187">
        <v>34.56</v>
      </c>
      <c r="P40" s="41">
        <v>9</v>
      </c>
      <c r="Q40" s="187">
        <v>66.52</v>
      </c>
      <c r="R40" s="297">
        <v>236</v>
      </c>
      <c r="S40" s="160" t="s">
        <v>182</v>
      </c>
      <c r="T40" s="190" t="s">
        <v>184</v>
      </c>
      <c r="U40" s="187">
        <v>63.42</v>
      </c>
      <c r="V40" s="41">
        <v>1</v>
      </c>
      <c r="W40" s="161">
        <f t="shared" si="7"/>
        <v>42</v>
      </c>
    </row>
    <row r="41" spans="1:24" s="83" customFormat="1" ht="12.75" x14ac:dyDescent="0.2">
      <c r="A41" s="179">
        <v>6</v>
      </c>
      <c r="B41" s="179" t="s">
        <v>63</v>
      </c>
      <c r="C41" s="188">
        <v>3.47</v>
      </c>
      <c r="D41" s="189">
        <f t="shared" si="9"/>
        <v>99.904030710172719</v>
      </c>
      <c r="E41" s="41">
        <v>10</v>
      </c>
      <c r="F41" s="41">
        <v>9</v>
      </c>
      <c r="G41" s="41">
        <v>40</v>
      </c>
      <c r="H41" s="41">
        <v>92</v>
      </c>
      <c r="I41" s="41">
        <v>813</v>
      </c>
      <c r="J41" s="41">
        <v>9</v>
      </c>
      <c r="K41" s="187">
        <v>14.85</v>
      </c>
      <c r="L41" s="41">
        <v>8</v>
      </c>
      <c r="M41" s="187">
        <v>40.4</v>
      </c>
      <c r="N41" s="41">
        <v>6</v>
      </c>
      <c r="O41" s="187">
        <v>29.72</v>
      </c>
      <c r="P41" s="41">
        <v>9</v>
      </c>
      <c r="Q41" s="187">
        <v>55.84</v>
      </c>
      <c r="R41" s="297">
        <v>340</v>
      </c>
      <c r="S41" s="160" t="s">
        <v>386</v>
      </c>
      <c r="T41" s="190" t="s">
        <v>184</v>
      </c>
      <c r="U41" s="187">
        <v>64.930000000000007</v>
      </c>
      <c r="V41" s="41">
        <v>1</v>
      </c>
      <c r="W41" s="161">
        <f t="shared" si="7"/>
        <v>43</v>
      </c>
    </row>
    <row r="42" spans="1:24" s="83" customFormat="1" ht="12.75" x14ac:dyDescent="0.2">
      <c r="A42" s="179">
        <v>7</v>
      </c>
      <c r="B42" s="179" t="s">
        <v>410</v>
      </c>
      <c r="C42" s="188">
        <v>3.31</v>
      </c>
      <c r="D42" s="189">
        <f t="shared" si="9"/>
        <v>95.297504798464473</v>
      </c>
      <c r="E42" s="41">
        <v>8</v>
      </c>
      <c r="F42" s="41">
        <v>9</v>
      </c>
      <c r="G42" s="41">
        <v>49</v>
      </c>
      <c r="H42" s="41">
        <v>94</v>
      </c>
      <c r="I42" s="41">
        <v>796</v>
      </c>
      <c r="J42" s="41">
        <v>8</v>
      </c>
      <c r="K42" s="187">
        <v>16.16</v>
      </c>
      <c r="L42" s="41">
        <v>9</v>
      </c>
      <c r="M42" s="187">
        <v>42.29</v>
      </c>
      <c r="N42" s="41">
        <v>7</v>
      </c>
      <c r="O42" s="187">
        <v>33.85</v>
      </c>
      <c r="P42" s="41">
        <v>9</v>
      </c>
      <c r="Q42" s="187">
        <v>65.77</v>
      </c>
      <c r="R42" s="297">
        <v>334</v>
      </c>
      <c r="S42" s="160" t="s">
        <v>386</v>
      </c>
      <c r="T42" s="190" t="s">
        <v>184</v>
      </c>
      <c r="U42" s="187">
        <v>63.57</v>
      </c>
      <c r="V42" s="41">
        <v>1</v>
      </c>
      <c r="W42" s="161">
        <f t="shared" si="7"/>
        <v>42</v>
      </c>
    </row>
    <row r="43" spans="1:24" s="83" customFormat="1" ht="12.75" x14ac:dyDescent="0.2">
      <c r="A43" s="179">
        <v>8</v>
      </c>
      <c r="B43" s="179" t="s">
        <v>411</v>
      </c>
      <c r="C43" s="188">
        <v>2.4300000000000002</v>
      </c>
      <c r="D43" s="189">
        <f t="shared" si="9"/>
        <v>69.961612284069091</v>
      </c>
      <c r="E43" s="295">
        <v>4</v>
      </c>
      <c r="F43" s="295">
        <v>9</v>
      </c>
      <c r="G43" s="295">
        <v>48</v>
      </c>
      <c r="H43" s="295">
        <v>92</v>
      </c>
      <c r="I43" s="295">
        <v>804</v>
      </c>
      <c r="J43" s="295">
        <v>9</v>
      </c>
      <c r="K43" s="187">
        <v>17.05</v>
      </c>
      <c r="L43" s="295">
        <v>9</v>
      </c>
      <c r="M43" s="187">
        <v>37.29</v>
      </c>
      <c r="N43" s="295">
        <v>6</v>
      </c>
      <c r="O43" s="187">
        <v>36.33</v>
      </c>
      <c r="P43" s="295">
        <v>9</v>
      </c>
      <c r="Q43" s="187">
        <v>71.44</v>
      </c>
      <c r="R43" s="297">
        <v>382</v>
      </c>
      <c r="S43" s="295" t="s">
        <v>386</v>
      </c>
      <c r="T43" s="190" t="s">
        <v>184</v>
      </c>
      <c r="U43" s="187">
        <v>63.62</v>
      </c>
      <c r="V43" s="295">
        <v>1</v>
      </c>
      <c r="W43" s="161">
        <f t="shared" si="7"/>
        <v>38</v>
      </c>
    </row>
    <row r="44" spans="1:24" s="83" customFormat="1" ht="12.75" x14ac:dyDescent="0.2">
      <c r="A44" s="179">
        <v>9</v>
      </c>
      <c r="B44" s="179" t="s">
        <v>408</v>
      </c>
      <c r="C44" s="188">
        <v>3.13</v>
      </c>
      <c r="D44" s="189">
        <f t="shared" si="9"/>
        <v>90.115163147792686</v>
      </c>
      <c r="E44" s="41">
        <v>8</v>
      </c>
      <c r="F44" s="41">
        <v>9</v>
      </c>
      <c r="G44" s="41">
        <v>47</v>
      </c>
      <c r="H44" s="41">
        <v>95</v>
      </c>
      <c r="I44" s="41">
        <v>782</v>
      </c>
      <c r="J44" s="41">
        <v>7</v>
      </c>
      <c r="K44" s="45">
        <v>16.22</v>
      </c>
      <c r="L44" s="41">
        <v>9</v>
      </c>
      <c r="M44" s="187">
        <v>42.49</v>
      </c>
      <c r="N44" s="41">
        <v>7</v>
      </c>
      <c r="O44" s="45">
        <v>32.44</v>
      </c>
      <c r="P44" s="41">
        <v>9</v>
      </c>
      <c r="Q44" s="45">
        <v>62.9</v>
      </c>
      <c r="R44" s="41">
        <v>204</v>
      </c>
      <c r="S44" s="160" t="s">
        <v>181</v>
      </c>
      <c r="T44" s="190" t="s">
        <v>184</v>
      </c>
      <c r="U44" s="45">
        <v>61.97</v>
      </c>
      <c r="V44" s="41">
        <v>1</v>
      </c>
      <c r="W44" s="161">
        <f t="shared" si="7"/>
        <v>41</v>
      </c>
    </row>
    <row r="46" spans="1:24" s="83" customFormat="1" ht="12.75" x14ac:dyDescent="0.2">
      <c r="A46" s="99" t="s">
        <v>293</v>
      </c>
    </row>
    <row r="47" spans="1:24" s="83" customFormat="1" ht="12.75" x14ac:dyDescent="0.2">
      <c r="A47" s="254">
        <v>1</v>
      </c>
      <c r="B47" s="254" t="s">
        <v>59</v>
      </c>
      <c r="C47" s="249">
        <f>SUM(C11+C23+C35)/3</f>
        <v>4.7700000000000005</v>
      </c>
      <c r="D47" s="251">
        <v>100</v>
      </c>
      <c r="E47" s="247">
        <v>10</v>
      </c>
      <c r="F47" s="251">
        <f t="shared" ref="F47:I49" si="10">SUM(F11+F23+F35)/3</f>
        <v>9</v>
      </c>
      <c r="G47" s="251">
        <f t="shared" si="10"/>
        <v>56.666666666666664</v>
      </c>
      <c r="H47" s="252">
        <f t="shared" si="10"/>
        <v>93.333333333333329</v>
      </c>
      <c r="I47" s="251">
        <f t="shared" si="10"/>
        <v>812</v>
      </c>
      <c r="J47" s="247">
        <v>9</v>
      </c>
      <c r="K47" s="250">
        <f>SUM(K11+K23+K35)/3</f>
        <v>15.416666666666666</v>
      </c>
      <c r="L47" s="247">
        <v>8</v>
      </c>
      <c r="M47" s="250">
        <f>SUM(M11+M23+M35)/3</f>
        <v>42.27</v>
      </c>
      <c r="N47" s="247">
        <v>7</v>
      </c>
      <c r="O47" s="250">
        <f>SUM(O11+O23+O35)/3</f>
        <v>33.623333333333335</v>
      </c>
      <c r="P47" s="247">
        <v>9</v>
      </c>
      <c r="Q47" s="250">
        <f t="shared" ref="Q47:R49" si="11">SUM(Q11+Q23+Q35)/3</f>
        <v>60.746666666666663</v>
      </c>
      <c r="R47" s="250">
        <f t="shared" si="11"/>
        <v>262.66666666666669</v>
      </c>
      <c r="S47" s="250"/>
      <c r="T47" s="250"/>
      <c r="U47" s="250">
        <f>SUM(U11+U23+U35)/3</f>
        <v>65.076666666666668</v>
      </c>
      <c r="V47" s="247">
        <v>2</v>
      </c>
      <c r="W47" s="248">
        <f>SUM(E47+J47+L47+N47+P47+V47)</f>
        <v>45</v>
      </c>
      <c r="X47" s="84">
        <f>SUM(W47:W49)/3</f>
        <v>44.333333333333336</v>
      </c>
    </row>
    <row r="48" spans="1:24" s="83" customFormat="1" ht="12.75" x14ac:dyDescent="0.2">
      <c r="A48" s="254">
        <v>2</v>
      </c>
      <c r="B48" s="254" t="s">
        <v>60</v>
      </c>
      <c r="C48" s="249">
        <f>SUM(C12+C24+C36)/3</f>
        <v>4.916666666666667</v>
      </c>
      <c r="D48" s="251">
        <v>100</v>
      </c>
      <c r="E48" s="247">
        <v>10</v>
      </c>
      <c r="F48" s="251">
        <f t="shared" si="10"/>
        <v>9</v>
      </c>
      <c r="G48" s="251">
        <f t="shared" si="10"/>
        <v>56.666666666666664</v>
      </c>
      <c r="H48" s="252">
        <f t="shared" si="10"/>
        <v>95.666666666666671</v>
      </c>
      <c r="I48" s="251">
        <f t="shared" si="10"/>
        <v>792</v>
      </c>
      <c r="J48" s="247">
        <v>8</v>
      </c>
      <c r="K48" s="250">
        <f>SUM(K12+K24+K36)/3</f>
        <v>15.790000000000001</v>
      </c>
      <c r="L48" s="247">
        <v>8</v>
      </c>
      <c r="M48" s="250">
        <f>SUM(M12+M24+M36)/3</f>
        <v>41.366666666666667</v>
      </c>
      <c r="N48" s="247">
        <v>6</v>
      </c>
      <c r="O48" s="250">
        <f>SUM(O12+O24+O36)/3</f>
        <v>34.29</v>
      </c>
      <c r="P48" s="247">
        <v>9</v>
      </c>
      <c r="Q48" s="250">
        <f t="shared" si="11"/>
        <v>63.696666666666665</v>
      </c>
      <c r="R48" s="250">
        <f t="shared" si="11"/>
        <v>327.33333333333331</v>
      </c>
      <c r="S48" s="250"/>
      <c r="T48" s="250"/>
      <c r="U48" s="250">
        <f>SUM(U12+U24+U36)/3</f>
        <v>63.65</v>
      </c>
      <c r="V48" s="247">
        <v>1</v>
      </c>
      <c r="W48" s="248">
        <f t="shared" ref="W48:W56" si="12">SUM(E48+J48+L48+N48+P48+V48)</f>
        <v>42</v>
      </c>
    </row>
    <row r="49" spans="1:24" s="83" customFormat="1" ht="12.75" x14ac:dyDescent="0.2">
      <c r="A49" s="254">
        <v>3</v>
      </c>
      <c r="B49" s="254" t="s">
        <v>409</v>
      </c>
      <c r="C49" s="249">
        <f>SUM(C13+C25+C37)/3</f>
        <v>4.6900000000000004</v>
      </c>
      <c r="D49" s="251">
        <v>100</v>
      </c>
      <c r="E49" s="247">
        <v>10</v>
      </c>
      <c r="F49" s="251">
        <f t="shared" si="10"/>
        <v>9</v>
      </c>
      <c r="G49" s="251">
        <f t="shared" si="10"/>
        <v>58.666666666666664</v>
      </c>
      <c r="H49" s="252">
        <f t="shared" si="10"/>
        <v>93.333333333333329</v>
      </c>
      <c r="I49" s="251">
        <f t="shared" si="10"/>
        <v>811.33333333333337</v>
      </c>
      <c r="J49" s="247">
        <v>9</v>
      </c>
      <c r="K49" s="250">
        <f>SUM(K13+K25+K37)/3</f>
        <v>16.463333333333335</v>
      </c>
      <c r="L49" s="247">
        <v>9</v>
      </c>
      <c r="M49" s="250">
        <f>SUM(M13+M25+M37)/3</f>
        <v>48.473333333333329</v>
      </c>
      <c r="N49" s="247">
        <v>8</v>
      </c>
      <c r="O49" s="250">
        <f>SUM(O13+O25+O37)/3</f>
        <v>36.336666666666666</v>
      </c>
      <c r="P49" s="247">
        <v>9</v>
      </c>
      <c r="Q49" s="250">
        <f t="shared" si="11"/>
        <v>66.63666666666667</v>
      </c>
      <c r="R49" s="250">
        <f t="shared" si="11"/>
        <v>427</v>
      </c>
      <c r="S49" s="250"/>
      <c r="T49" s="250"/>
      <c r="U49" s="250">
        <f>SUM(U13+U25+U37)/3</f>
        <v>62.676666666666669</v>
      </c>
      <c r="V49" s="247">
        <v>1</v>
      </c>
      <c r="W49" s="248">
        <f t="shared" si="12"/>
        <v>46</v>
      </c>
      <c r="X49" s="83" t="s">
        <v>65</v>
      </c>
    </row>
    <row r="50" spans="1:24" s="83" customFormat="1" ht="12.75" x14ac:dyDescent="0.2">
      <c r="A50" s="271"/>
      <c r="B50" s="271" t="s">
        <v>300</v>
      </c>
      <c r="C50" s="273">
        <f>SUM(C47:C49)/3</f>
        <v>4.7922222222222226</v>
      </c>
      <c r="D50" s="275">
        <v>100</v>
      </c>
      <c r="E50" s="274">
        <v>10</v>
      </c>
      <c r="F50" s="275">
        <f t="shared" ref="F50:I50" si="13">SUM(F47:F49)/3</f>
        <v>9</v>
      </c>
      <c r="G50" s="275">
        <f t="shared" si="13"/>
        <v>57.333333333333336</v>
      </c>
      <c r="H50" s="275">
        <f t="shared" si="13"/>
        <v>94.1111111111111</v>
      </c>
      <c r="I50" s="275">
        <f t="shared" si="13"/>
        <v>805.1111111111112</v>
      </c>
      <c r="J50" s="274">
        <v>9</v>
      </c>
      <c r="K50" s="276">
        <f>SUM(K47:K49)/3</f>
        <v>15.89</v>
      </c>
      <c r="L50" s="274">
        <v>8</v>
      </c>
      <c r="M50" s="276">
        <f>SUM(M47:M49)/3</f>
        <v>44.036666666666669</v>
      </c>
      <c r="N50" s="274">
        <v>7</v>
      </c>
      <c r="O50" s="276">
        <f>SUM(O47:O49)/3</f>
        <v>34.75</v>
      </c>
      <c r="P50" s="274">
        <v>9</v>
      </c>
      <c r="Q50" s="276">
        <f t="shared" ref="Q50:R50" si="14">SUM(Q47:Q49)/3</f>
        <v>63.693333333333328</v>
      </c>
      <c r="R50" s="276">
        <f t="shared" si="14"/>
        <v>339</v>
      </c>
      <c r="S50" s="276"/>
      <c r="T50" s="276"/>
      <c r="U50" s="276">
        <f>SUM(U47:U49)/3</f>
        <v>63.801111111111112</v>
      </c>
      <c r="V50" s="274">
        <v>1</v>
      </c>
      <c r="W50" s="281">
        <f t="shared" si="12"/>
        <v>44</v>
      </c>
    </row>
    <row r="51" spans="1:24" s="83" customFormat="1" ht="12.75" x14ac:dyDescent="0.2">
      <c r="A51" s="179">
        <v>4</v>
      </c>
      <c r="B51" s="179" t="s">
        <v>61</v>
      </c>
      <c r="C51" s="188">
        <f t="shared" ref="C51:C56" si="15">SUM(C15+C27+C39)/3</f>
        <v>5.0133333333333336</v>
      </c>
      <c r="D51" s="189">
        <f t="shared" ref="D51:D56" si="16">C51*100/AVERAGE($C$47:$C$49)</f>
        <v>104.61395780199398</v>
      </c>
      <c r="E51" s="49">
        <v>8</v>
      </c>
      <c r="F51" s="48">
        <f t="shared" ref="F51:I55" si="17">SUM(F15+F27+F39)/3</f>
        <v>9</v>
      </c>
      <c r="G51" s="48">
        <f t="shared" si="17"/>
        <v>57.333333333333336</v>
      </c>
      <c r="H51" s="59">
        <f t="shared" si="17"/>
        <v>93.333333333333329</v>
      </c>
      <c r="I51" s="48">
        <f t="shared" si="17"/>
        <v>806.33333333333337</v>
      </c>
      <c r="J51" s="49">
        <v>9</v>
      </c>
      <c r="K51" s="50">
        <f t="shared" ref="K51:K56" si="18">SUM(K15+K27+K39)/3</f>
        <v>16.27</v>
      </c>
      <c r="L51" s="49">
        <v>9</v>
      </c>
      <c r="M51" s="50">
        <f t="shared" ref="M51:M56" si="19">SUM(M15+M27+M39)/3</f>
        <v>44.976666666666667</v>
      </c>
      <c r="N51" s="49">
        <v>7</v>
      </c>
      <c r="O51" s="50">
        <f t="shared" ref="O51:O56" si="20">SUM(O15+O27+O39)/3</f>
        <v>36.516666666666666</v>
      </c>
      <c r="P51" s="49">
        <v>9</v>
      </c>
      <c r="Q51" s="50">
        <f t="shared" ref="Q51:R55" si="21">SUM(Q15+Q27+Q39)/3</f>
        <v>66.276666666666657</v>
      </c>
      <c r="R51" s="50">
        <f t="shared" si="21"/>
        <v>271.66666666666669</v>
      </c>
      <c r="S51" s="50"/>
      <c r="T51" s="50"/>
      <c r="U51" s="50">
        <f t="shared" ref="U51:U56" si="22">SUM(U15+U27+U39)/3</f>
        <v>64.153333333333336</v>
      </c>
      <c r="V51" s="49">
        <v>1</v>
      </c>
      <c r="W51" s="161">
        <f t="shared" si="12"/>
        <v>43</v>
      </c>
    </row>
    <row r="52" spans="1:24" s="83" customFormat="1" ht="12.75" x14ac:dyDescent="0.2">
      <c r="A52" s="179">
        <v>5</v>
      </c>
      <c r="B52" s="179" t="s">
        <v>62</v>
      </c>
      <c r="C52" s="188">
        <f t="shared" si="15"/>
        <v>4.5333333333333332</v>
      </c>
      <c r="D52" s="189">
        <f t="shared" si="16"/>
        <v>94.597727799675383</v>
      </c>
      <c r="E52" s="49">
        <v>8</v>
      </c>
      <c r="F52" s="48">
        <f t="shared" si="17"/>
        <v>9</v>
      </c>
      <c r="G52" s="48">
        <f t="shared" si="17"/>
        <v>53.666666666666664</v>
      </c>
      <c r="H52" s="59">
        <f t="shared" si="17"/>
        <v>93.666666666666671</v>
      </c>
      <c r="I52" s="48">
        <f t="shared" si="17"/>
        <v>808</v>
      </c>
      <c r="J52" s="49">
        <v>9</v>
      </c>
      <c r="K52" s="50">
        <f t="shared" si="18"/>
        <v>16.466666666666669</v>
      </c>
      <c r="L52" s="49">
        <v>9</v>
      </c>
      <c r="M52" s="50">
        <f t="shared" si="19"/>
        <v>44.226666666666667</v>
      </c>
      <c r="N52" s="49">
        <v>7</v>
      </c>
      <c r="O52" s="50">
        <f t="shared" si="20"/>
        <v>35.866666666666667</v>
      </c>
      <c r="P52" s="49">
        <v>9</v>
      </c>
      <c r="Q52" s="50">
        <f t="shared" si="21"/>
        <v>68.319999999999993</v>
      </c>
      <c r="R52" s="50">
        <f t="shared" si="21"/>
        <v>263.66666666666669</v>
      </c>
      <c r="S52" s="50"/>
      <c r="T52" s="50"/>
      <c r="U52" s="50">
        <f t="shared" si="22"/>
        <v>63.156666666666666</v>
      </c>
      <c r="V52" s="49">
        <v>1</v>
      </c>
      <c r="W52" s="161">
        <f t="shared" si="12"/>
        <v>43</v>
      </c>
    </row>
    <row r="53" spans="1:24" s="83" customFormat="1" ht="12.75" x14ac:dyDescent="0.2">
      <c r="A53" s="179">
        <v>6</v>
      </c>
      <c r="B53" s="179" t="s">
        <v>63</v>
      </c>
      <c r="C53" s="188">
        <f t="shared" si="15"/>
        <v>4.78</v>
      </c>
      <c r="D53" s="189">
        <f t="shared" si="16"/>
        <v>99.744957106422433</v>
      </c>
      <c r="E53" s="49">
        <v>10</v>
      </c>
      <c r="F53" s="48">
        <f t="shared" si="17"/>
        <v>9</v>
      </c>
      <c r="G53" s="48">
        <f t="shared" si="17"/>
        <v>51</v>
      </c>
      <c r="H53" s="59">
        <f t="shared" si="17"/>
        <v>93.666666666666671</v>
      </c>
      <c r="I53" s="48">
        <f t="shared" si="17"/>
        <v>822.33333333333337</v>
      </c>
      <c r="J53" s="49">
        <v>9</v>
      </c>
      <c r="K53" s="50">
        <f t="shared" si="18"/>
        <v>15.566666666666668</v>
      </c>
      <c r="L53" s="49">
        <v>8</v>
      </c>
      <c r="M53" s="50">
        <f t="shared" si="19"/>
        <v>41.47</v>
      </c>
      <c r="N53" s="49">
        <v>6</v>
      </c>
      <c r="O53" s="50">
        <f t="shared" si="20"/>
        <v>33.059999999999995</v>
      </c>
      <c r="P53" s="49">
        <v>9</v>
      </c>
      <c r="Q53" s="50">
        <f t="shared" si="21"/>
        <v>62.866666666666667</v>
      </c>
      <c r="R53" s="50">
        <f t="shared" si="21"/>
        <v>310</v>
      </c>
      <c r="S53" s="50"/>
      <c r="T53" s="50"/>
      <c r="U53" s="50">
        <f t="shared" si="22"/>
        <v>64.626666666666665</v>
      </c>
      <c r="V53" s="49">
        <v>1</v>
      </c>
      <c r="W53" s="161">
        <f t="shared" si="12"/>
        <v>43</v>
      </c>
    </row>
    <row r="54" spans="1:24" s="83" customFormat="1" ht="12.75" x14ac:dyDescent="0.2">
      <c r="A54" s="179">
        <v>7</v>
      </c>
      <c r="B54" s="179" t="s">
        <v>410</v>
      </c>
      <c r="C54" s="188">
        <f t="shared" si="15"/>
        <v>4.79</v>
      </c>
      <c r="D54" s="189">
        <f t="shared" si="16"/>
        <v>99.953628564804077</v>
      </c>
      <c r="E54" s="49">
        <v>8</v>
      </c>
      <c r="F54" s="48">
        <f t="shared" si="17"/>
        <v>9</v>
      </c>
      <c r="G54" s="48">
        <f t="shared" si="17"/>
        <v>56</v>
      </c>
      <c r="H54" s="59">
        <f t="shared" si="17"/>
        <v>93.666666666666671</v>
      </c>
      <c r="I54" s="48">
        <f t="shared" si="17"/>
        <v>803</v>
      </c>
      <c r="J54" s="49">
        <v>9</v>
      </c>
      <c r="K54" s="50">
        <f t="shared" si="18"/>
        <v>16.276666666666667</v>
      </c>
      <c r="L54" s="49">
        <v>9</v>
      </c>
      <c r="M54" s="50">
        <f t="shared" si="19"/>
        <v>44.033333333333331</v>
      </c>
      <c r="N54" s="49">
        <v>7</v>
      </c>
      <c r="O54" s="50">
        <f t="shared" si="20"/>
        <v>35.75333333333333</v>
      </c>
      <c r="P54" s="49">
        <v>9</v>
      </c>
      <c r="Q54" s="50">
        <f t="shared" si="21"/>
        <v>66.839999999999989</v>
      </c>
      <c r="R54" s="50">
        <f t="shared" si="21"/>
        <v>329</v>
      </c>
      <c r="S54" s="50"/>
      <c r="T54" s="50"/>
      <c r="U54" s="50">
        <f t="shared" si="22"/>
        <v>63.81</v>
      </c>
      <c r="V54" s="49">
        <v>1</v>
      </c>
      <c r="W54" s="161">
        <f t="shared" si="12"/>
        <v>43</v>
      </c>
    </row>
    <row r="55" spans="1:24" s="83" customFormat="1" ht="12.75" x14ac:dyDescent="0.2">
      <c r="A55" s="179">
        <v>8</v>
      </c>
      <c r="B55" s="179" t="s">
        <v>411</v>
      </c>
      <c r="C55" s="188">
        <f t="shared" si="15"/>
        <v>4.1433333333333335</v>
      </c>
      <c r="D55" s="189">
        <f t="shared" si="16"/>
        <v>86.459540922791561</v>
      </c>
      <c r="E55" s="190">
        <v>9</v>
      </c>
      <c r="F55" s="189">
        <f t="shared" si="17"/>
        <v>9</v>
      </c>
      <c r="G55" s="189">
        <f t="shared" si="17"/>
        <v>58.333333333333336</v>
      </c>
      <c r="H55" s="194">
        <f t="shared" si="17"/>
        <v>93</v>
      </c>
      <c r="I55" s="189">
        <f t="shared" si="17"/>
        <v>813.33333333333337</v>
      </c>
      <c r="J55" s="190">
        <v>9</v>
      </c>
      <c r="K55" s="191">
        <f t="shared" si="18"/>
        <v>17.003333333333334</v>
      </c>
      <c r="L55" s="190">
        <v>9</v>
      </c>
      <c r="M55" s="191">
        <f t="shared" si="19"/>
        <v>37.603333333333332</v>
      </c>
      <c r="N55" s="190">
        <v>6</v>
      </c>
      <c r="O55" s="191">
        <f t="shared" si="20"/>
        <v>37.456666666666663</v>
      </c>
      <c r="P55" s="190">
        <v>9</v>
      </c>
      <c r="Q55" s="191">
        <f t="shared" si="21"/>
        <v>70.589999999999989</v>
      </c>
      <c r="R55" s="191">
        <f t="shared" si="21"/>
        <v>418</v>
      </c>
      <c r="S55" s="191"/>
      <c r="T55" s="191"/>
      <c r="U55" s="191">
        <f t="shared" si="22"/>
        <v>63.81</v>
      </c>
      <c r="V55" s="190">
        <v>1</v>
      </c>
      <c r="W55" s="161">
        <f t="shared" ref="W55" si="23">SUM(E55+J55+L55+N55+P55+V55)</f>
        <v>43</v>
      </c>
    </row>
    <row r="56" spans="1:24" s="83" customFormat="1" ht="12.75" x14ac:dyDescent="0.2">
      <c r="A56" s="179">
        <v>9</v>
      </c>
      <c r="B56" s="179" t="s">
        <v>408</v>
      </c>
      <c r="C56" s="188">
        <f t="shared" si="15"/>
        <v>4.2133333333333338</v>
      </c>
      <c r="D56" s="189">
        <f t="shared" si="16"/>
        <v>87.920241131463015</v>
      </c>
      <c r="E56" s="49">
        <v>10</v>
      </c>
      <c r="F56" s="48">
        <f t="shared" ref="F56:I56" si="24">SUM(F20+F32+F44)/3</f>
        <v>9</v>
      </c>
      <c r="G56" s="48">
        <f t="shared" si="24"/>
        <v>54.333333333333336</v>
      </c>
      <c r="H56" s="59">
        <f t="shared" si="24"/>
        <v>94</v>
      </c>
      <c r="I56" s="48">
        <f t="shared" si="24"/>
        <v>789</v>
      </c>
      <c r="J56" s="49">
        <v>8</v>
      </c>
      <c r="K56" s="50">
        <f t="shared" si="18"/>
        <v>16.496666666666666</v>
      </c>
      <c r="L56" s="49">
        <v>9</v>
      </c>
      <c r="M56" s="50">
        <f t="shared" si="19"/>
        <v>41.216666666666669</v>
      </c>
      <c r="N56" s="49">
        <v>6</v>
      </c>
      <c r="O56" s="50">
        <f t="shared" si="20"/>
        <v>35.073333333333331</v>
      </c>
      <c r="P56" s="49">
        <v>9</v>
      </c>
      <c r="Q56" s="50">
        <f t="shared" ref="Q56:R56" si="25">SUM(Q20+Q32+Q44)/3</f>
        <v>66.400000000000006</v>
      </c>
      <c r="R56" s="50">
        <f t="shared" si="25"/>
        <v>195.33333333333334</v>
      </c>
      <c r="S56" s="50"/>
      <c r="T56" s="50"/>
      <c r="U56" s="50">
        <f t="shared" si="22"/>
        <v>62.23</v>
      </c>
      <c r="V56" s="49">
        <v>1</v>
      </c>
      <c r="W56" s="161">
        <f t="shared" si="12"/>
        <v>43</v>
      </c>
    </row>
    <row r="59" spans="1:24" x14ac:dyDescent="0.25">
      <c r="B59" s="367" t="s">
        <v>104</v>
      </c>
      <c r="C59" s="367"/>
      <c r="D59" s="367"/>
      <c r="E59" s="367"/>
      <c r="F59" s="367"/>
      <c r="G59" s="367"/>
      <c r="H59" s="367"/>
    </row>
    <row r="60" spans="1:24" x14ac:dyDescent="0.25">
      <c r="B60" s="123" t="s">
        <v>286</v>
      </c>
      <c r="C60" s="363" t="s">
        <v>139</v>
      </c>
      <c r="D60" s="364"/>
      <c r="E60" s="363" t="s">
        <v>105</v>
      </c>
      <c r="F60" s="364"/>
      <c r="G60" s="357" t="s">
        <v>135</v>
      </c>
      <c r="H60" s="364"/>
    </row>
    <row r="61" spans="1:24" x14ac:dyDescent="0.25">
      <c r="B61" s="124" t="s">
        <v>106</v>
      </c>
      <c r="C61" s="368"/>
      <c r="D61" s="369"/>
      <c r="E61" s="369"/>
      <c r="F61" s="369"/>
      <c r="G61" s="369"/>
      <c r="H61" s="370"/>
    </row>
    <row r="62" spans="1:24" s="87" customFormat="1" x14ac:dyDescent="0.25">
      <c r="B62" s="124" t="s">
        <v>156</v>
      </c>
      <c r="C62" s="399" t="s">
        <v>188</v>
      </c>
      <c r="D62" s="401"/>
      <c r="E62" s="353" t="s">
        <v>620</v>
      </c>
      <c r="F62" s="353"/>
      <c r="G62" s="356" t="s">
        <v>255</v>
      </c>
      <c r="H62" s="362"/>
    </row>
    <row r="63" spans="1:24" s="87" customFormat="1" x14ac:dyDescent="0.25">
      <c r="B63" s="124" t="s">
        <v>119</v>
      </c>
      <c r="C63" s="399"/>
      <c r="D63" s="400"/>
      <c r="E63" s="357" t="s">
        <v>425</v>
      </c>
      <c r="F63" s="357"/>
      <c r="G63" s="356" t="s">
        <v>256</v>
      </c>
      <c r="H63" s="362"/>
    </row>
    <row r="64" spans="1:24" x14ac:dyDescent="0.25">
      <c r="B64" s="124" t="s">
        <v>107</v>
      </c>
      <c r="C64" s="361">
        <v>1.7</v>
      </c>
      <c r="D64" s="362"/>
      <c r="E64" s="361">
        <v>3.1</v>
      </c>
      <c r="F64" s="362"/>
      <c r="G64" s="361">
        <v>2</v>
      </c>
      <c r="H64" s="362"/>
    </row>
    <row r="65" spans="2:8" x14ac:dyDescent="0.25">
      <c r="B65" s="124" t="s">
        <v>108</v>
      </c>
      <c r="C65" s="402">
        <v>6.4</v>
      </c>
      <c r="D65" s="403"/>
      <c r="E65" s="389">
        <v>5.8</v>
      </c>
      <c r="F65" s="390"/>
      <c r="G65" s="389">
        <v>5.2</v>
      </c>
      <c r="H65" s="390"/>
    </row>
    <row r="66" spans="2:8" x14ac:dyDescent="0.25">
      <c r="B66" s="124" t="s">
        <v>109</v>
      </c>
      <c r="C66" s="361">
        <v>190</v>
      </c>
      <c r="D66" s="362"/>
      <c r="E66" s="389">
        <v>66</v>
      </c>
      <c r="F66" s="390"/>
      <c r="G66" s="389">
        <v>64</v>
      </c>
      <c r="H66" s="390"/>
    </row>
    <row r="67" spans="2:8" x14ac:dyDescent="0.25">
      <c r="B67" s="124" t="s">
        <v>110</v>
      </c>
      <c r="C67" s="361">
        <v>129</v>
      </c>
      <c r="D67" s="362"/>
      <c r="E67" s="361">
        <v>115</v>
      </c>
      <c r="F67" s="362"/>
      <c r="G67" s="361">
        <v>126</v>
      </c>
      <c r="H67" s="362"/>
    </row>
    <row r="68" spans="2:8" x14ac:dyDescent="0.25">
      <c r="B68" s="124" t="s">
        <v>140</v>
      </c>
      <c r="C68" s="361" t="s">
        <v>272</v>
      </c>
      <c r="D68" s="356"/>
      <c r="E68" s="356"/>
      <c r="F68" s="356"/>
      <c r="G68" s="356"/>
      <c r="H68" s="362"/>
    </row>
    <row r="69" spans="2:8" s="298" customFormat="1" x14ac:dyDescent="0.25">
      <c r="B69" s="124" t="s">
        <v>680</v>
      </c>
      <c r="C69" s="361" t="s">
        <v>685</v>
      </c>
      <c r="D69" s="356"/>
      <c r="E69" s="356"/>
      <c r="F69" s="356"/>
      <c r="G69" s="356"/>
      <c r="H69" s="362"/>
    </row>
    <row r="70" spans="2:8" x14ac:dyDescent="0.25">
      <c r="B70" s="124" t="s">
        <v>111</v>
      </c>
      <c r="C70" s="358" t="s">
        <v>415</v>
      </c>
      <c r="D70" s="358"/>
      <c r="E70" s="358" t="s">
        <v>426</v>
      </c>
      <c r="F70" s="358"/>
      <c r="G70" s="358" t="s">
        <v>436</v>
      </c>
      <c r="H70" s="358"/>
    </row>
    <row r="71" spans="2:8" x14ac:dyDescent="0.25">
      <c r="B71" s="123" t="s">
        <v>112</v>
      </c>
      <c r="C71" s="363" t="s">
        <v>416</v>
      </c>
      <c r="D71" s="364"/>
      <c r="E71" s="358" t="s">
        <v>427</v>
      </c>
      <c r="F71" s="358"/>
      <c r="G71" s="358" t="s">
        <v>388</v>
      </c>
      <c r="H71" s="358"/>
    </row>
    <row r="72" spans="2:8" x14ac:dyDescent="0.25">
      <c r="B72" s="124" t="s">
        <v>113</v>
      </c>
      <c r="C72" s="359"/>
      <c r="D72" s="359"/>
      <c r="E72" s="359"/>
      <c r="F72" s="359"/>
      <c r="G72" s="359"/>
      <c r="H72" s="359"/>
    </row>
    <row r="73" spans="2:8" x14ac:dyDescent="0.25">
      <c r="B73" s="124" t="s">
        <v>114</v>
      </c>
      <c r="C73" s="125" t="s">
        <v>417</v>
      </c>
      <c r="D73" s="207" t="s">
        <v>418</v>
      </c>
      <c r="E73" s="211" t="s">
        <v>428</v>
      </c>
      <c r="F73" s="177" t="s">
        <v>429</v>
      </c>
      <c r="G73" s="211" t="s">
        <v>437</v>
      </c>
      <c r="H73" s="177" t="s">
        <v>438</v>
      </c>
    </row>
    <row r="74" spans="2:8" x14ac:dyDescent="0.25">
      <c r="B74" s="124" t="s">
        <v>138</v>
      </c>
      <c r="C74" s="124"/>
      <c r="D74" s="207" t="s">
        <v>419</v>
      </c>
      <c r="E74" s="211" t="s">
        <v>316</v>
      </c>
      <c r="F74" s="177" t="s">
        <v>274</v>
      </c>
      <c r="G74" s="211"/>
      <c r="H74" s="177" t="s">
        <v>439</v>
      </c>
    </row>
    <row r="75" spans="2:8" x14ac:dyDescent="0.25">
      <c r="B75" s="124" t="s">
        <v>138</v>
      </c>
      <c r="C75" s="124"/>
      <c r="D75" s="207"/>
      <c r="E75" s="211"/>
      <c r="F75" s="177"/>
      <c r="G75" s="211"/>
      <c r="H75" s="177"/>
    </row>
    <row r="76" spans="2:8" s="87" customFormat="1" x14ac:dyDescent="0.25">
      <c r="B76" s="124"/>
      <c r="C76" s="124"/>
      <c r="D76" s="207"/>
      <c r="E76" s="211"/>
      <c r="F76" s="177"/>
      <c r="G76" s="211"/>
      <c r="H76" s="177"/>
    </row>
    <row r="77" spans="2:8" s="87" customFormat="1" x14ac:dyDescent="0.25">
      <c r="B77" s="124" t="s">
        <v>244</v>
      </c>
      <c r="C77" s="124"/>
      <c r="D77" s="207"/>
      <c r="E77" s="211"/>
      <c r="F77" s="211"/>
      <c r="G77" s="113"/>
      <c r="H77" s="113"/>
    </row>
    <row r="78" spans="2:8" x14ac:dyDescent="0.25">
      <c r="B78" s="124"/>
      <c r="C78" s="124"/>
      <c r="D78" s="146"/>
      <c r="E78" s="201"/>
      <c r="F78" s="210"/>
      <c r="G78" s="204"/>
      <c r="H78" s="204"/>
    </row>
    <row r="79" spans="2:8" x14ac:dyDescent="0.25">
      <c r="B79" s="124" t="s">
        <v>115</v>
      </c>
      <c r="C79" s="353"/>
      <c r="D79" s="353"/>
      <c r="E79" s="353"/>
      <c r="F79" s="353"/>
      <c r="G79" s="353"/>
      <c r="H79" s="353"/>
    </row>
    <row r="80" spans="2:8" x14ac:dyDescent="0.25">
      <c r="B80" s="124" t="s">
        <v>116</v>
      </c>
      <c r="C80" s="124" t="s">
        <v>390</v>
      </c>
      <c r="D80" s="124" t="s">
        <v>168</v>
      </c>
      <c r="E80" s="211" t="s">
        <v>396</v>
      </c>
      <c r="F80" s="211" t="s">
        <v>395</v>
      </c>
      <c r="G80" s="211" t="s">
        <v>440</v>
      </c>
      <c r="H80" s="124" t="s">
        <v>168</v>
      </c>
    </row>
    <row r="81" spans="2:8" x14ac:dyDescent="0.25">
      <c r="B81" s="127"/>
      <c r="C81" s="124" t="s">
        <v>390</v>
      </c>
      <c r="D81" s="124" t="s">
        <v>167</v>
      </c>
      <c r="E81" s="211"/>
      <c r="F81" s="211" t="s">
        <v>430</v>
      </c>
      <c r="G81" s="211"/>
      <c r="H81" s="124" t="s">
        <v>160</v>
      </c>
    </row>
    <row r="82" spans="2:8" s="87" customFormat="1" x14ac:dyDescent="0.25">
      <c r="B82" s="127"/>
      <c r="C82" s="124"/>
      <c r="D82" s="124"/>
      <c r="E82" s="211" t="s">
        <v>431</v>
      </c>
      <c r="F82" s="211" t="s">
        <v>432</v>
      </c>
      <c r="G82" s="217"/>
      <c r="H82" s="217"/>
    </row>
    <row r="83" spans="2:8" s="114" customFormat="1" ht="11.25" x14ac:dyDescent="0.15">
      <c r="B83" s="124" t="s">
        <v>170</v>
      </c>
      <c r="C83" s="124" t="s">
        <v>381</v>
      </c>
      <c r="D83" s="124" t="s">
        <v>179</v>
      </c>
      <c r="E83" s="201"/>
      <c r="F83" s="201"/>
      <c r="G83" s="211" t="s">
        <v>440</v>
      </c>
      <c r="H83" s="211" t="s">
        <v>154</v>
      </c>
    </row>
    <row r="84" spans="2:8" s="114" customFormat="1" ht="11.25" x14ac:dyDescent="0.15">
      <c r="B84" s="124"/>
      <c r="C84" s="124"/>
      <c r="D84" s="124"/>
      <c r="E84" s="201"/>
      <c r="F84" s="201"/>
      <c r="G84" s="211"/>
      <c r="H84" s="211"/>
    </row>
    <row r="85" spans="2:8" x14ac:dyDescent="0.25">
      <c r="B85" s="124" t="s">
        <v>123</v>
      </c>
      <c r="C85" s="124" t="s">
        <v>420</v>
      </c>
      <c r="D85" s="124" t="s">
        <v>230</v>
      </c>
      <c r="E85" s="211" t="s">
        <v>433</v>
      </c>
      <c r="F85" s="211" t="s">
        <v>434</v>
      </c>
      <c r="G85" s="211" t="s">
        <v>441</v>
      </c>
      <c r="H85" s="211" t="s">
        <v>442</v>
      </c>
    </row>
    <row r="86" spans="2:8" s="87" customFormat="1" x14ac:dyDescent="0.25">
      <c r="B86" s="124"/>
      <c r="C86" s="124" t="s">
        <v>421</v>
      </c>
      <c r="D86" s="124" t="s">
        <v>422</v>
      </c>
      <c r="E86" s="211"/>
      <c r="F86" s="211"/>
      <c r="G86" s="211"/>
      <c r="H86" s="211"/>
    </row>
    <row r="87" spans="2:8" s="87" customFormat="1" x14ac:dyDescent="0.25">
      <c r="B87" s="124"/>
      <c r="C87" s="124"/>
      <c r="D87" s="124"/>
      <c r="E87" s="201"/>
      <c r="F87" s="201"/>
      <c r="G87" s="211"/>
      <c r="H87" s="211"/>
    </row>
    <row r="88" spans="2:8" x14ac:dyDescent="0.25">
      <c r="B88" s="124" t="s">
        <v>117</v>
      </c>
      <c r="C88" s="124" t="s">
        <v>420</v>
      </c>
      <c r="D88" s="124" t="s">
        <v>423</v>
      </c>
      <c r="E88" s="201"/>
      <c r="F88" s="201"/>
      <c r="G88" s="211" t="s">
        <v>443</v>
      </c>
      <c r="H88" s="211" t="s">
        <v>164</v>
      </c>
    </row>
    <row r="89" spans="2:8" s="87" customFormat="1" x14ac:dyDescent="0.25">
      <c r="B89" s="124"/>
      <c r="C89" s="133"/>
      <c r="D89" s="133"/>
      <c r="E89" s="201"/>
      <c r="F89" s="201"/>
      <c r="G89" s="211"/>
      <c r="H89" s="211"/>
    </row>
    <row r="90" spans="2:8" x14ac:dyDescent="0.25">
      <c r="B90" s="124" t="s">
        <v>144</v>
      </c>
      <c r="C90" s="87" t="s">
        <v>381</v>
      </c>
      <c r="D90" s="87" t="s">
        <v>260</v>
      </c>
      <c r="E90" s="211" t="s">
        <v>396</v>
      </c>
      <c r="F90" s="211" t="s">
        <v>435</v>
      </c>
      <c r="G90" s="211" t="s">
        <v>440</v>
      </c>
      <c r="H90" s="211" t="s">
        <v>444</v>
      </c>
    </row>
    <row r="91" spans="2:8" x14ac:dyDescent="0.25">
      <c r="B91" s="127"/>
      <c r="C91" s="124" t="s">
        <v>421</v>
      </c>
      <c r="D91" s="124" t="s">
        <v>424</v>
      </c>
      <c r="E91" s="211" t="s">
        <v>433</v>
      </c>
      <c r="F91" s="211" t="s">
        <v>435</v>
      </c>
      <c r="G91" s="211"/>
      <c r="H91" s="211"/>
    </row>
    <row r="92" spans="2:8" x14ac:dyDescent="0.25">
      <c r="B92" s="127"/>
      <c r="C92" s="124"/>
      <c r="D92" s="124"/>
      <c r="E92" s="201"/>
      <c r="F92" s="201"/>
      <c r="G92" s="211"/>
      <c r="H92" s="211"/>
    </row>
    <row r="93" spans="2:8" x14ac:dyDescent="0.25">
      <c r="B93" s="127"/>
      <c r="C93" s="124"/>
      <c r="D93" s="124"/>
      <c r="E93" s="201"/>
      <c r="F93" s="201"/>
      <c r="G93" s="211"/>
      <c r="H93" s="211"/>
    </row>
    <row r="94" spans="2:8" x14ac:dyDescent="0.25">
      <c r="B94" s="127"/>
      <c r="C94" s="124"/>
      <c r="D94" s="124"/>
      <c r="E94" s="201"/>
      <c r="F94" s="201"/>
      <c r="G94" s="211"/>
      <c r="H94" s="211"/>
    </row>
  </sheetData>
  <mergeCells count="42">
    <mergeCell ref="E63:F63"/>
    <mergeCell ref="G63:H63"/>
    <mergeCell ref="G67:H67"/>
    <mergeCell ref="C64:D64"/>
    <mergeCell ref="E64:F64"/>
    <mergeCell ref="G64:H64"/>
    <mergeCell ref="C65:D65"/>
    <mergeCell ref="E65:F65"/>
    <mergeCell ref="G65:H65"/>
    <mergeCell ref="C62:D62"/>
    <mergeCell ref="E62:F62"/>
    <mergeCell ref="G62:H62"/>
    <mergeCell ref="U7:V7"/>
    <mergeCell ref="C61:H61"/>
    <mergeCell ref="W7:W8"/>
    <mergeCell ref="M7:N7"/>
    <mergeCell ref="O7:P7"/>
    <mergeCell ref="B59:H59"/>
    <mergeCell ref="C60:D60"/>
    <mergeCell ref="E60:F60"/>
    <mergeCell ref="G60:H60"/>
    <mergeCell ref="A7:A8"/>
    <mergeCell ref="B7:B8"/>
    <mergeCell ref="C7:E7"/>
    <mergeCell ref="I7:J7"/>
    <mergeCell ref="K7:L7"/>
    <mergeCell ref="C63:D63"/>
    <mergeCell ref="C72:H72"/>
    <mergeCell ref="C79:H79"/>
    <mergeCell ref="C68:H68"/>
    <mergeCell ref="C70:D70"/>
    <mergeCell ref="E70:F70"/>
    <mergeCell ref="G70:H70"/>
    <mergeCell ref="C71:D71"/>
    <mergeCell ref="E71:F71"/>
    <mergeCell ref="G71:H71"/>
    <mergeCell ref="C66:D66"/>
    <mergeCell ref="E66:F66"/>
    <mergeCell ref="G66:H66"/>
    <mergeCell ref="C67:D67"/>
    <mergeCell ref="C69:H69"/>
    <mergeCell ref="E67:F6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9"/>
  <sheetViews>
    <sheetView workbookViewId="0">
      <selection activeCell="K92" sqref="K92"/>
    </sheetView>
  </sheetViews>
  <sheetFormatPr defaultRowHeight="15" x14ac:dyDescent="0.25"/>
  <cols>
    <col min="1" max="1" width="3.7109375" customWidth="1"/>
    <col min="2" max="2" width="30.85546875" customWidth="1"/>
    <col min="3" max="3" width="12.5703125" customWidth="1"/>
    <col min="4" max="4" width="25" customWidth="1"/>
    <col min="5" max="5" width="13.7109375" customWidth="1"/>
    <col min="6" max="6" width="24.5703125" customWidth="1"/>
    <col min="7" max="7" width="12.28515625" customWidth="1"/>
    <col min="8" max="8" width="24.5703125" customWidth="1"/>
  </cols>
  <sheetData>
    <row r="2" spans="1:20" x14ac:dyDescent="0.25">
      <c r="B2" s="81" t="s">
        <v>445</v>
      </c>
    </row>
    <row r="3" spans="1:20" x14ac:dyDescent="0.25">
      <c r="B3" s="76" t="s">
        <v>446</v>
      </c>
    </row>
    <row r="6" spans="1:20" ht="15.75" x14ac:dyDescent="0.25">
      <c r="A6" s="74" t="s">
        <v>56</v>
      </c>
    </row>
    <row r="8" spans="1:20" ht="38.25" x14ac:dyDescent="0.25">
      <c r="A8" s="372" t="s">
        <v>1</v>
      </c>
      <c r="B8" s="372" t="s">
        <v>2</v>
      </c>
      <c r="C8" s="372" t="s">
        <v>27</v>
      </c>
      <c r="D8" s="372"/>
      <c r="E8" s="372"/>
      <c r="F8" s="78" t="s">
        <v>5</v>
      </c>
      <c r="G8" s="78" t="s">
        <v>28</v>
      </c>
      <c r="H8" s="78" t="s">
        <v>52</v>
      </c>
      <c r="I8" s="372" t="s">
        <v>8</v>
      </c>
      <c r="J8" s="372"/>
      <c r="K8" s="372" t="s">
        <v>9</v>
      </c>
      <c r="L8" s="372"/>
      <c r="M8" s="372" t="s">
        <v>10</v>
      </c>
      <c r="N8" s="372"/>
      <c r="O8" s="372" t="s">
        <v>12</v>
      </c>
      <c r="P8" s="372"/>
      <c r="Q8" s="371" t="s">
        <v>13</v>
      </c>
    </row>
    <row r="9" spans="1:20" ht="25.5" x14ac:dyDescent="0.25">
      <c r="A9" s="372"/>
      <c r="B9" s="372"/>
      <c r="C9" s="78" t="s">
        <v>14</v>
      </c>
      <c r="D9" s="78" t="s">
        <v>15</v>
      </c>
      <c r="E9" s="78" t="s">
        <v>16</v>
      </c>
      <c r="F9" s="78" t="s">
        <v>16</v>
      </c>
      <c r="G9" s="78" t="s">
        <v>18</v>
      </c>
      <c r="H9" s="78" t="s">
        <v>19</v>
      </c>
      <c r="I9" s="78" t="s">
        <v>20</v>
      </c>
      <c r="J9" s="78" t="s">
        <v>16</v>
      </c>
      <c r="K9" s="78" t="s">
        <v>21</v>
      </c>
      <c r="L9" s="79" t="s">
        <v>16</v>
      </c>
      <c r="M9" s="79" t="s">
        <v>22</v>
      </c>
      <c r="N9" s="79" t="s">
        <v>16</v>
      </c>
      <c r="O9" s="78" t="s">
        <v>21</v>
      </c>
      <c r="P9" s="78" t="s">
        <v>16</v>
      </c>
      <c r="Q9" s="371"/>
    </row>
    <row r="11" spans="1:20" x14ac:dyDescent="0.25">
      <c r="A11" s="55" t="s">
        <v>43</v>
      </c>
    </row>
    <row r="12" spans="1:20" s="83" customFormat="1" ht="12.75" x14ac:dyDescent="0.2">
      <c r="A12" s="254">
        <v>1</v>
      </c>
      <c r="B12" s="254" t="s">
        <v>212</v>
      </c>
      <c r="C12" s="247">
        <v>1.81</v>
      </c>
      <c r="D12" s="247">
        <v>100</v>
      </c>
      <c r="E12" s="247">
        <v>10</v>
      </c>
      <c r="F12" s="247">
        <v>9</v>
      </c>
      <c r="G12" s="247">
        <v>40</v>
      </c>
      <c r="H12" s="247">
        <v>87</v>
      </c>
      <c r="I12" s="247">
        <v>747</v>
      </c>
      <c r="J12" s="247">
        <v>9</v>
      </c>
      <c r="K12" s="250">
        <v>15.07</v>
      </c>
      <c r="L12" s="247">
        <v>8</v>
      </c>
      <c r="M12" s="249">
        <v>48.32</v>
      </c>
      <c r="N12" s="247">
        <v>8</v>
      </c>
      <c r="O12" s="250">
        <v>60.16</v>
      </c>
      <c r="P12" s="247">
        <v>5</v>
      </c>
      <c r="Q12" s="248">
        <f>SUM(E12+J12+L12+N12+P12)</f>
        <v>40</v>
      </c>
    </row>
    <row r="13" spans="1:20" s="83" customFormat="1" ht="12.75" x14ac:dyDescent="0.2">
      <c r="A13" s="254">
        <v>2</v>
      </c>
      <c r="B13" s="254" t="s">
        <v>213</v>
      </c>
      <c r="C13" s="247">
        <v>1.76</v>
      </c>
      <c r="D13" s="247">
        <v>100</v>
      </c>
      <c r="E13" s="247">
        <v>10</v>
      </c>
      <c r="F13" s="247">
        <v>9</v>
      </c>
      <c r="G13" s="247">
        <v>39</v>
      </c>
      <c r="H13" s="247">
        <v>90</v>
      </c>
      <c r="I13" s="247">
        <v>734</v>
      </c>
      <c r="J13" s="247">
        <v>9</v>
      </c>
      <c r="K13" s="250">
        <v>14.79</v>
      </c>
      <c r="L13" s="247">
        <v>7</v>
      </c>
      <c r="M13" s="249">
        <v>48.68</v>
      </c>
      <c r="N13" s="247">
        <v>8</v>
      </c>
      <c r="O13" s="250">
        <v>60.08</v>
      </c>
      <c r="P13" s="247">
        <v>4</v>
      </c>
      <c r="Q13" s="248">
        <f t="shared" ref="Q13:Q25" si="0">SUM(E13+J13+L13+N13+P13)</f>
        <v>38</v>
      </c>
    </row>
    <row r="14" spans="1:20" s="83" customFormat="1" ht="12.75" x14ac:dyDescent="0.2">
      <c r="A14" s="254">
        <v>3</v>
      </c>
      <c r="B14" s="254" t="s">
        <v>214</v>
      </c>
      <c r="C14" s="247">
        <v>2.04</v>
      </c>
      <c r="D14" s="251">
        <v>100</v>
      </c>
      <c r="E14" s="247">
        <v>10</v>
      </c>
      <c r="F14" s="247">
        <v>9</v>
      </c>
      <c r="G14" s="247">
        <v>44</v>
      </c>
      <c r="H14" s="247">
        <v>89</v>
      </c>
      <c r="I14" s="247">
        <v>726</v>
      </c>
      <c r="J14" s="247">
        <v>9</v>
      </c>
      <c r="K14" s="250">
        <v>14.04</v>
      </c>
      <c r="L14" s="247">
        <v>6</v>
      </c>
      <c r="M14" s="249">
        <v>50.98</v>
      </c>
      <c r="N14" s="247">
        <v>9</v>
      </c>
      <c r="O14" s="250">
        <v>62</v>
      </c>
      <c r="P14" s="247">
        <v>6</v>
      </c>
      <c r="Q14" s="248">
        <f t="shared" si="0"/>
        <v>40</v>
      </c>
      <c r="S14" s="198"/>
      <c r="T14" s="198"/>
    </row>
    <row r="15" spans="1:20" s="83" customFormat="1" ht="12.75" x14ac:dyDescent="0.2">
      <c r="A15" s="271"/>
      <c r="B15" s="271" t="s">
        <v>300</v>
      </c>
      <c r="C15" s="273">
        <f>SUM(C12:C14)/3</f>
        <v>1.87</v>
      </c>
      <c r="D15" s="275">
        <v>100</v>
      </c>
      <c r="E15" s="274">
        <v>10</v>
      </c>
      <c r="F15" s="275">
        <f t="shared" ref="F15:I15" si="1">SUM(F12:F14)/3</f>
        <v>9</v>
      </c>
      <c r="G15" s="275">
        <f t="shared" si="1"/>
        <v>41</v>
      </c>
      <c r="H15" s="275">
        <f t="shared" si="1"/>
        <v>88.666666666666671</v>
      </c>
      <c r="I15" s="275">
        <f t="shared" si="1"/>
        <v>735.66666666666663</v>
      </c>
      <c r="J15" s="275">
        <v>9</v>
      </c>
      <c r="K15" s="276">
        <f>SUM(K12:K14)/3</f>
        <v>14.633333333333333</v>
      </c>
      <c r="L15" s="274">
        <v>7</v>
      </c>
      <c r="M15" s="273">
        <f>SUM(M12:M14)/3</f>
        <v>49.326666666666661</v>
      </c>
      <c r="N15" s="274">
        <v>8</v>
      </c>
      <c r="O15" s="276">
        <f>SUM(O12:O14)/3</f>
        <v>60.74666666666667</v>
      </c>
      <c r="P15" s="274">
        <v>5</v>
      </c>
      <c r="Q15" s="281">
        <f t="shared" si="0"/>
        <v>39</v>
      </c>
      <c r="S15" s="198"/>
      <c r="T15" s="198"/>
    </row>
    <row r="16" spans="1:20" s="83" customFormat="1" ht="12.75" x14ac:dyDescent="0.2">
      <c r="A16" s="56">
        <v>4</v>
      </c>
      <c r="B16" s="56" t="s">
        <v>447</v>
      </c>
      <c r="C16" s="41">
        <v>1.98</v>
      </c>
      <c r="D16" s="42">
        <f>C16*100/AVERAGE($C$12:$C$14)</f>
        <v>105.88235294117646</v>
      </c>
      <c r="E16" s="41">
        <v>12</v>
      </c>
      <c r="F16" s="41">
        <v>9</v>
      </c>
      <c r="G16" s="41">
        <v>47</v>
      </c>
      <c r="H16" s="41">
        <v>89</v>
      </c>
      <c r="I16" s="295">
        <v>725</v>
      </c>
      <c r="J16" s="41">
        <v>9</v>
      </c>
      <c r="K16" s="187">
        <v>14.18</v>
      </c>
      <c r="L16" s="41">
        <v>7</v>
      </c>
      <c r="M16" s="44">
        <v>54.16</v>
      </c>
      <c r="N16" s="41">
        <v>9</v>
      </c>
      <c r="O16" s="187">
        <v>62.13</v>
      </c>
      <c r="P16" s="41">
        <v>6</v>
      </c>
      <c r="Q16" s="161">
        <f t="shared" si="0"/>
        <v>43</v>
      </c>
    </row>
    <row r="17" spans="1:20" s="83" customFormat="1" ht="12.75" x14ac:dyDescent="0.2">
      <c r="A17" s="56">
        <v>5</v>
      </c>
      <c r="B17" s="56" t="s">
        <v>216</v>
      </c>
      <c r="C17" s="41">
        <v>1.68</v>
      </c>
      <c r="D17" s="186">
        <f t="shared" ref="D17:D25" si="2">C17*100/AVERAGE($C$12:$C$14)</f>
        <v>89.839572192513359</v>
      </c>
      <c r="E17" s="41">
        <v>8</v>
      </c>
      <c r="F17" s="41">
        <v>9</v>
      </c>
      <c r="G17" s="41">
        <v>39</v>
      </c>
      <c r="H17" s="41">
        <v>88</v>
      </c>
      <c r="I17" s="295">
        <v>746</v>
      </c>
      <c r="J17" s="41">
        <v>9</v>
      </c>
      <c r="K17" s="187">
        <v>12.88</v>
      </c>
      <c r="L17" s="41">
        <v>5</v>
      </c>
      <c r="M17" s="44">
        <v>48.91</v>
      </c>
      <c r="N17" s="41">
        <v>8</v>
      </c>
      <c r="O17" s="187">
        <v>62.93</v>
      </c>
      <c r="P17" s="41">
        <v>6</v>
      </c>
      <c r="Q17" s="161">
        <f t="shared" si="0"/>
        <v>36</v>
      </c>
    </row>
    <row r="18" spans="1:20" s="83" customFormat="1" ht="12.75" x14ac:dyDescent="0.2">
      <c r="A18" s="56">
        <v>6</v>
      </c>
      <c r="B18" s="56" t="s">
        <v>448</v>
      </c>
      <c r="C18" s="41">
        <v>1.96</v>
      </c>
      <c r="D18" s="186">
        <f t="shared" si="2"/>
        <v>104.81283422459893</v>
      </c>
      <c r="E18" s="41">
        <v>10</v>
      </c>
      <c r="F18" s="41">
        <v>9</v>
      </c>
      <c r="G18" s="41">
        <v>44</v>
      </c>
      <c r="H18" s="41">
        <v>88</v>
      </c>
      <c r="I18" s="295">
        <v>721</v>
      </c>
      <c r="J18" s="41">
        <v>9</v>
      </c>
      <c r="K18" s="187">
        <v>13.72</v>
      </c>
      <c r="L18" s="41">
        <v>6</v>
      </c>
      <c r="M18" s="44">
        <v>50.75</v>
      </c>
      <c r="N18" s="41">
        <v>9</v>
      </c>
      <c r="O18" s="187">
        <v>62.19</v>
      </c>
      <c r="P18" s="41">
        <v>6</v>
      </c>
      <c r="Q18" s="161">
        <f t="shared" si="0"/>
        <v>40</v>
      </c>
    </row>
    <row r="19" spans="1:20" s="83" customFormat="1" ht="12.75" x14ac:dyDescent="0.2">
      <c r="A19" s="56">
        <v>7</v>
      </c>
      <c r="B19" s="56" t="s">
        <v>449</v>
      </c>
      <c r="C19" s="41">
        <v>2.09</v>
      </c>
      <c r="D19" s="186">
        <f t="shared" si="2"/>
        <v>111.76470588235293</v>
      </c>
      <c r="E19" s="41">
        <v>12</v>
      </c>
      <c r="F19" s="41">
        <v>9</v>
      </c>
      <c r="G19" s="41">
        <v>47</v>
      </c>
      <c r="H19" s="41">
        <v>90</v>
      </c>
      <c r="I19" s="295">
        <v>732</v>
      </c>
      <c r="J19" s="41">
        <v>9</v>
      </c>
      <c r="K19" s="191">
        <v>13.8</v>
      </c>
      <c r="L19" s="41">
        <v>6</v>
      </c>
      <c r="M19" s="44">
        <v>50.83</v>
      </c>
      <c r="N19" s="41">
        <v>9</v>
      </c>
      <c r="O19" s="187">
        <v>62.88</v>
      </c>
      <c r="P19" s="41">
        <v>6</v>
      </c>
      <c r="Q19" s="161">
        <f t="shared" si="0"/>
        <v>42</v>
      </c>
    </row>
    <row r="20" spans="1:20" s="83" customFormat="1" ht="12.75" x14ac:dyDescent="0.2">
      <c r="A20" s="56">
        <v>8</v>
      </c>
      <c r="B20" s="56" t="s">
        <v>450</v>
      </c>
      <c r="C20" s="44">
        <v>2.2000000000000002</v>
      </c>
      <c r="D20" s="186">
        <f t="shared" si="2"/>
        <v>117.64705882352942</v>
      </c>
      <c r="E20" s="41">
        <v>14</v>
      </c>
      <c r="F20" s="41">
        <v>9</v>
      </c>
      <c r="G20" s="41">
        <v>43</v>
      </c>
      <c r="H20" s="41">
        <v>88</v>
      </c>
      <c r="I20" s="295">
        <v>732</v>
      </c>
      <c r="J20" s="41">
        <v>9</v>
      </c>
      <c r="K20" s="191">
        <v>13.07</v>
      </c>
      <c r="L20" s="41">
        <v>6</v>
      </c>
      <c r="M20" s="44">
        <v>50.84</v>
      </c>
      <c r="N20" s="41">
        <v>9</v>
      </c>
      <c r="O20" s="187">
        <v>62.82</v>
      </c>
      <c r="P20" s="41">
        <v>6</v>
      </c>
      <c r="Q20" s="161">
        <f t="shared" si="0"/>
        <v>44</v>
      </c>
    </row>
    <row r="21" spans="1:20" s="83" customFormat="1" ht="12.75" x14ac:dyDescent="0.2">
      <c r="A21" s="56">
        <v>9</v>
      </c>
      <c r="B21" s="56" t="s">
        <v>451</v>
      </c>
      <c r="C21" s="41">
        <v>2.14</v>
      </c>
      <c r="D21" s="186">
        <f t="shared" si="2"/>
        <v>114.43850267379679</v>
      </c>
      <c r="E21" s="41">
        <v>12</v>
      </c>
      <c r="F21" s="41">
        <v>9</v>
      </c>
      <c r="G21" s="41">
        <v>42</v>
      </c>
      <c r="H21" s="41">
        <v>89</v>
      </c>
      <c r="I21" s="295">
        <v>724</v>
      </c>
      <c r="J21" s="41">
        <v>9</v>
      </c>
      <c r="K21" s="191">
        <v>13.46</v>
      </c>
      <c r="L21" s="41">
        <v>6</v>
      </c>
      <c r="M21" s="44">
        <v>52.48</v>
      </c>
      <c r="N21" s="41">
        <v>9</v>
      </c>
      <c r="O21" s="187">
        <v>62.5</v>
      </c>
      <c r="P21" s="41">
        <v>6</v>
      </c>
      <c r="Q21" s="161">
        <f t="shared" si="0"/>
        <v>42</v>
      </c>
    </row>
    <row r="22" spans="1:20" s="83" customFormat="1" ht="12.75" x14ac:dyDescent="0.2">
      <c r="A22" s="56">
        <v>10</v>
      </c>
      <c r="B22" s="56" t="s">
        <v>452</v>
      </c>
      <c r="C22" s="295">
        <v>2.25</v>
      </c>
      <c r="D22" s="186">
        <f t="shared" si="2"/>
        <v>120.32085561497325</v>
      </c>
      <c r="E22" s="295">
        <v>14</v>
      </c>
      <c r="F22" s="295">
        <v>9</v>
      </c>
      <c r="G22" s="295">
        <v>48</v>
      </c>
      <c r="H22" s="295">
        <v>86</v>
      </c>
      <c r="I22" s="295">
        <v>735</v>
      </c>
      <c r="J22" s="295">
        <v>9</v>
      </c>
      <c r="K22" s="191">
        <v>12.38</v>
      </c>
      <c r="L22" s="295">
        <v>5</v>
      </c>
      <c r="M22" s="44">
        <v>52.32</v>
      </c>
      <c r="N22" s="295">
        <v>9</v>
      </c>
      <c r="O22" s="187">
        <v>63.11</v>
      </c>
      <c r="P22" s="295">
        <v>6</v>
      </c>
      <c r="Q22" s="161">
        <f t="shared" si="0"/>
        <v>43</v>
      </c>
    </row>
    <row r="23" spans="1:20" s="83" customFormat="1" ht="12.75" x14ac:dyDescent="0.2">
      <c r="A23" s="56">
        <v>11</v>
      </c>
      <c r="B23" s="56" t="s">
        <v>453</v>
      </c>
      <c r="C23" s="295">
        <v>2.29</v>
      </c>
      <c r="D23" s="186">
        <f t="shared" si="2"/>
        <v>122.45989304812834</v>
      </c>
      <c r="E23" s="295">
        <v>14</v>
      </c>
      <c r="F23" s="295">
        <v>9</v>
      </c>
      <c r="G23" s="295">
        <v>42</v>
      </c>
      <c r="H23" s="295">
        <v>88</v>
      </c>
      <c r="I23" s="295">
        <v>734</v>
      </c>
      <c r="J23" s="295">
        <v>9</v>
      </c>
      <c r="K23" s="191">
        <v>12.35</v>
      </c>
      <c r="L23" s="295">
        <v>5</v>
      </c>
      <c r="M23" s="44">
        <v>48.05</v>
      </c>
      <c r="N23" s="295">
        <v>8</v>
      </c>
      <c r="O23" s="187">
        <v>62.94</v>
      </c>
      <c r="P23" s="295">
        <v>6</v>
      </c>
      <c r="Q23" s="161">
        <f t="shared" si="0"/>
        <v>42</v>
      </c>
    </row>
    <row r="24" spans="1:20" s="83" customFormat="1" ht="12.75" x14ac:dyDescent="0.2">
      <c r="A24" s="56">
        <v>12</v>
      </c>
      <c r="B24" s="56" t="s">
        <v>215</v>
      </c>
      <c r="C24" s="41">
        <v>2.21</v>
      </c>
      <c r="D24" s="186">
        <f t="shared" si="2"/>
        <v>118.18181818181817</v>
      </c>
      <c r="E24" s="41">
        <v>14</v>
      </c>
      <c r="F24" s="41">
        <v>9</v>
      </c>
      <c r="G24" s="41">
        <v>42</v>
      </c>
      <c r="H24" s="41">
        <v>88</v>
      </c>
      <c r="I24" s="295">
        <v>735</v>
      </c>
      <c r="J24" s="41">
        <v>9</v>
      </c>
      <c r="K24" s="191">
        <v>12.95</v>
      </c>
      <c r="L24" s="41">
        <v>5</v>
      </c>
      <c r="M24" s="44">
        <v>49.17</v>
      </c>
      <c r="N24" s="41">
        <v>8</v>
      </c>
      <c r="O24" s="187">
        <v>62.53</v>
      </c>
      <c r="P24" s="41">
        <v>6</v>
      </c>
      <c r="Q24" s="161">
        <f t="shared" si="0"/>
        <v>42</v>
      </c>
    </row>
    <row r="25" spans="1:20" s="83" customFormat="1" ht="12.75" x14ac:dyDescent="0.2">
      <c r="A25" s="56">
        <v>13</v>
      </c>
      <c r="B25" s="56" t="s">
        <v>217</v>
      </c>
      <c r="C25" s="41">
        <v>2.15</v>
      </c>
      <c r="D25" s="186">
        <f t="shared" si="2"/>
        <v>114.97326203208556</v>
      </c>
      <c r="E25" s="41">
        <v>14</v>
      </c>
      <c r="F25" s="41">
        <v>9</v>
      </c>
      <c r="G25" s="41">
        <v>42</v>
      </c>
      <c r="H25" s="41">
        <v>90</v>
      </c>
      <c r="I25" s="295">
        <v>731</v>
      </c>
      <c r="J25" s="41">
        <v>9</v>
      </c>
      <c r="K25" s="191">
        <v>12.62</v>
      </c>
      <c r="L25" s="41">
        <v>5</v>
      </c>
      <c r="M25" s="44">
        <v>50.16</v>
      </c>
      <c r="N25" s="41">
        <v>9</v>
      </c>
      <c r="O25" s="187">
        <v>62.49</v>
      </c>
      <c r="P25" s="41">
        <v>6</v>
      </c>
      <c r="Q25" s="161">
        <f t="shared" si="0"/>
        <v>43</v>
      </c>
    </row>
    <row r="27" spans="1:20" s="61" customFormat="1" x14ac:dyDescent="0.25">
      <c r="A27" s="111" t="s">
        <v>295</v>
      </c>
      <c r="B27" s="298"/>
    </row>
    <row r="28" spans="1:20" s="83" customFormat="1" ht="12.75" x14ac:dyDescent="0.2">
      <c r="A28" s="254">
        <v>1</v>
      </c>
      <c r="B28" s="254" t="s">
        <v>212</v>
      </c>
      <c r="C28" s="249">
        <v>4.54</v>
      </c>
      <c r="D28" s="247">
        <v>100</v>
      </c>
      <c r="E28" s="247">
        <v>10</v>
      </c>
      <c r="F28" s="247">
        <v>9</v>
      </c>
      <c r="G28" s="247">
        <v>64</v>
      </c>
      <c r="H28" s="247">
        <v>93</v>
      </c>
      <c r="I28" s="247">
        <v>735</v>
      </c>
      <c r="J28" s="247">
        <v>9</v>
      </c>
      <c r="K28" s="250">
        <v>16.14</v>
      </c>
      <c r="L28" s="247">
        <v>8</v>
      </c>
      <c r="M28" s="249">
        <v>53</v>
      </c>
      <c r="N28" s="247">
        <v>9</v>
      </c>
      <c r="O28" s="250">
        <v>59.2</v>
      </c>
      <c r="P28" s="247">
        <v>4</v>
      </c>
      <c r="Q28" s="248">
        <f>SUM(E28+J28+L28+N28+P28)</f>
        <v>40</v>
      </c>
      <c r="R28" s="84"/>
    </row>
    <row r="29" spans="1:20" s="83" customFormat="1" ht="12.75" x14ac:dyDescent="0.2">
      <c r="A29" s="254">
        <v>2</v>
      </c>
      <c r="B29" s="254" t="s">
        <v>213</v>
      </c>
      <c r="C29" s="249">
        <v>4.63</v>
      </c>
      <c r="D29" s="247">
        <v>100</v>
      </c>
      <c r="E29" s="247">
        <v>10</v>
      </c>
      <c r="F29" s="247">
        <v>9</v>
      </c>
      <c r="G29" s="247">
        <v>74</v>
      </c>
      <c r="H29" s="247">
        <v>93</v>
      </c>
      <c r="I29" s="247">
        <v>723</v>
      </c>
      <c r="J29" s="247">
        <v>9</v>
      </c>
      <c r="K29" s="250">
        <v>16.489999999999998</v>
      </c>
      <c r="L29" s="247">
        <v>8</v>
      </c>
      <c r="M29" s="249">
        <v>56.9</v>
      </c>
      <c r="N29" s="247">
        <v>9</v>
      </c>
      <c r="O29" s="250">
        <v>59.21</v>
      </c>
      <c r="P29" s="247">
        <v>4</v>
      </c>
      <c r="Q29" s="248">
        <f t="shared" ref="Q29:Q41" si="3">SUM(E29+J29+L29+N29+P29)</f>
        <v>40</v>
      </c>
    </row>
    <row r="30" spans="1:20" s="83" customFormat="1" ht="12.75" x14ac:dyDescent="0.2">
      <c r="A30" s="254">
        <v>3</v>
      </c>
      <c r="B30" s="254" t="s">
        <v>214</v>
      </c>
      <c r="C30" s="249">
        <v>6.17</v>
      </c>
      <c r="D30" s="251">
        <v>100</v>
      </c>
      <c r="E30" s="247">
        <v>10</v>
      </c>
      <c r="F30" s="247">
        <v>9</v>
      </c>
      <c r="G30" s="247">
        <v>70</v>
      </c>
      <c r="H30" s="247">
        <v>98</v>
      </c>
      <c r="I30" s="247">
        <v>712</v>
      </c>
      <c r="J30" s="247">
        <v>9</v>
      </c>
      <c r="K30" s="250">
        <v>14.53</v>
      </c>
      <c r="L30" s="247">
        <v>7</v>
      </c>
      <c r="M30" s="249">
        <v>60.8</v>
      </c>
      <c r="N30" s="247">
        <v>9</v>
      </c>
      <c r="O30" s="250">
        <v>61.51</v>
      </c>
      <c r="P30" s="247">
        <v>5</v>
      </c>
      <c r="Q30" s="248">
        <f t="shared" si="3"/>
        <v>40</v>
      </c>
      <c r="S30" s="198"/>
      <c r="T30" s="198"/>
    </row>
    <row r="31" spans="1:20" s="83" customFormat="1" ht="12.75" x14ac:dyDescent="0.2">
      <c r="A31" s="271"/>
      <c r="B31" s="271" t="s">
        <v>300</v>
      </c>
      <c r="C31" s="273">
        <f>SUM(C28:C30)/3</f>
        <v>5.1133333333333333</v>
      </c>
      <c r="D31" s="275">
        <v>100</v>
      </c>
      <c r="E31" s="274">
        <v>10</v>
      </c>
      <c r="F31" s="275">
        <f>SUM(F28:F30)/3</f>
        <v>9</v>
      </c>
      <c r="G31" s="275">
        <f t="shared" ref="G31:I31" si="4">SUM(G28:G30)/3</f>
        <v>69.333333333333329</v>
      </c>
      <c r="H31" s="275">
        <f t="shared" si="4"/>
        <v>94.666666666666671</v>
      </c>
      <c r="I31" s="275">
        <f t="shared" si="4"/>
        <v>723.33333333333337</v>
      </c>
      <c r="J31" s="274">
        <v>9</v>
      </c>
      <c r="K31" s="276">
        <f>SUM(K28:K30)/3</f>
        <v>15.719999999999999</v>
      </c>
      <c r="L31" s="274">
        <v>8</v>
      </c>
      <c r="M31" s="273">
        <f>SUM(M28:M30)/3</f>
        <v>56.9</v>
      </c>
      <c r="N31" s="274">
        <v>9</v>
      </c>
      <c r="O31" s="276">
        <f>SUM(O28:O30)/3</f>
        <v>59.973333333333329</v>
      </c>
      <c r="P31" s="274">
        <v>4</v>
      </c>
      <c r="Q31" s="281">
        <f t="shared" si="3"/>
        <v>40</v>
      </c>
      <c r="S31" s="198"/>
      <c r="T31" s="198"/>
    </row>
    <row r="32" spans="1:20" s="83" customFormat="1" ht="12.75" x14ac:dyDescent="0.2">
      <c r="A32" s="56">
        <v>4</v>
      </c>
      <c r="B32" s="56" t="s">
        <v>447</v>
      </c>
      <c r="C32" s="44">
        <v>6.08</v>
      </c>
      <c r="D32" s="42">
        <f>C32*100/AVERAGE($C$28:$C$30)</f>
        <v>118.90482398956975</v>
      </c>
      <c r="E32" s="41">
        <v>14</v>
      </c>
      <c r="F32" s="41">
        <v>9</v>
      </c>
      <c r="G32" s="41">
        <v>64</v>
      </c>
      <c r="H32" s="41">
        <v>98</v>
      </c>
      <c r="I32" s="295">
        <v>701</v>
      </c>
      <c r="J32" s="41">
        <v>9</v>
      </c>
      <c r="K32" s="187">
        <v>14.94</v>
      </c>
      <c r="L32" s="41">
        <v>7</v>
      </c>
      <c r="M32" s="44">
        <v>61.4</v>
      </c>
      <c r="N32" s="41">
        <v>9</v>
      </c>
      <c r="O32" s="187">
        <v>60.85</v>
      </c>
      <c r="P32" s="41">
        <v>5</v>
      </c>
      <c r="Q32" s="161">
        <f t="shared" si="3"/>
        <v>44</v>
      </c>
    </row>
    <row r="33" spans="1:20" s="83" customFormat="1" ht="12.75" x14ac:dyDescent="0.2">
      <c r="A33" s="56">
        <v>5</v>
      </c>
      <c r="B33" s="56" t="s">
        <v>216</v>
      </c>
      <c r="C33" s="44">
        <v>6.06</v>
      </c>
      <c r="D33" s="186">
        <f t="shared" ref="D33:D41" si="5">C33*100/AVERAGE($C$28:$C$30)</f>
        <v>118.51368970013039</v>
      </c>
      <c r="E33" s="41">
        <v>14</v>
      </c>
      <c r="F33" s="41">
        <v>9</v>
      </c>
      <c r="G33" s="41">
        <v>63</v>
      </c>
      <c r="H33" s="41">
        <v>98</v>
      </c>
      <c r="I33" s="295">
        <v>731</v>
      </c>
      <c r="J33" s="41">
        <v>9</v>
      </c>
      <c r="K33" s="187">
        <v>15.18</v>
      </c>
      <c r="L33" s="41">
        <v>8</v>
      </c>
      <c r="M33" s="44">
        <v>57.3</v>
      </c>
      <c r="N33" s="41">
        <v>9</v>
      </c>
      <c r="O33" s="187">
        <v>60.95</v>
      </c>
      <c r="P33" s="41">
        <v>5</v>
      </c>
      <c r="Q33" s="161">
        <f t="shared" si="3"/>
        <v>45</v>
      </c>
    </row>
    <row r="34" spans="1:20" s="83" customFormat="1" ht="12.75" x14ac:dyDescent="0.2">
      <c r="A34" s="56">
        <v>6</v>
      </c>
      <c r="B34" s="56" t="s">
        <v>448</v>
      </c>
      <c r="C34" s="44">
        <v>5.9</v>
      </c>
      <c r="D34" s="186">
        <f t="shared" si="5"/>
        <v>115.38461538461539</v>
      </c>
      <c r="E34" s="41">
        <v>12</v>
      </c>
      <c r="F34" s="41">
        <v>9</v>
      </c>
      <c r="G34" s="41">
        <v>61</v>
      </c>
      <c r="H34" s="41">
        <v>98</v>
      </c>
      <c r="I34" s="295">
        <v>703</v>
      </c>
      <c r="J34" s="41">
        <v>9</v>
      </c>
      <c r="K34" s="187">
        <v>15.09</v>
      </c>
      <c r="L34" s="41">
        <v>8</v>
      </c>
      <c r="M34" s="44">
        <v>58.5</v>
      </c>
      <c r="N34" s="41">
        <v>9</v>
      </c>
      <c r="O34" s="187">
        <v>60.23</v>
      </c>
      <c r="P34" s="41">
        <v>5</v>
      </c>
      <c r="Q34" s="161">
        <f t="shared" si="3"/>
        <v>43</v>
      </c>
    </row>
    <row r="35" spans="1:20" s="83" customFormat="1" ht="12.75" x14ac:dyDescent="0.2">
      <c r="A35" s="56">
        <v>7</v>
      </c>
      <c r="B35" s="56" t="s">
        <v>449</v>
      </c>
      <c r="C35" s="44">
        <v>5.97</v>
      </c>
      <c r="D35" s="186">
        <f t="shared" si="5"/>
        <v>116.7535853976532</v>
      </c>
      <c r="E35" s="41">
        <v>14</v>
      </c>
      <c r="F35" s="41">
        <v>9</v>
      </c>
      <c r="G35" s="41">
        <v>67</v>
      </c>
      <c r="H35" s="295">
        <v>98</v>
      </c>
      <c r="I35" s="295">
        <v>721</v>
      </c>
      <c r="J35" s="41">
        <v>9</v>
      </c>
      <c r="K35" s="191">
        <v>14.22</v>
      </c>
      <c r="L35" s="41">
        <v>7</v>
      </c>
      <c r="M35" s="44">
        <v>57.6</v>
      </c>
      <c r="N35" s="41">
        <v>9</v>
      </c>
      <c r="O35" s="187">
        <v>61.42</v>
      </c>
      <c r="P35" s="41">
        <v>5</v>
      </c>
      <c r="Q35" s="161">
        <f t="shared" si="3"/>
        <v>44</v>
      </c>
    </row>
    <row r="36" spans="1:20" s="83" customFormat="1" ht="12.75" x14ac:dyDescent="0.2">
      <c r="A36" s="56">
        <v>8</v>
      </c>
      <c r="B36" s="56" t="s">
        <v>450</v>
      </c>
      <c r="C36" s="44">
        <v>5.89</v>
      </c>
      <c r="D36" s="186">
        <f t="shared" si="5"/>
        <v>115.1890482398957</v>
      </c>
      <c r="E36" s="41">
        <v>12</v>
      </c>
      <c r="F36" s="41">
        <v>9</v>
      </c>
      <c r="G36" s="41">
        <v>60</v>
      </c>
      <c r="H36" s="295">
        <v>98</v>
      </c>
      <c r="I36" s="295">
        <v>714</v>
      </c>
      <c r="J36" s="41">
        <v>9</v>
      </c>
      <c r="K36" s="191">
        <v>14.75</v>
      </c>
      <c r="L36" s="41">
        <v>7</v>
      </c>
      <c r="M36" s="44">
        <v>58.6</v>
      </c>
      <c r="N36" s="41">
        <v>9</v>
      </c>
      <c r="O36" s="187">
        <v>60.98</v>
      </c>
      <c r="P36" s="41">
        <v>5</v>
      </c>
      <c r="Q36" s="161">
        <f t="shared" si="3"/>
        <v>42</v>
      </c>
    </row>
    <row r="37" spans="1:20" s="83" customFormat="1" ht="12.75" x14ac:dyDescent="0.2">
      <c r="A37" s="56">
        <v>9</v>
      </c>
      <c r="B37" s="56" t="s">
        <v>451</v>
      </c>
      <c r="C37" s="44">
        <v>5.35</v>
      </c>
      <c r="D37" s="186">
        <f t="shared" si="5"/>
        <v>104.6284224250326</v>
      </c>
      <c r="E37" s="41">
        <v>10</v>
      </c>
      <c r="F37" s="41">
        <v>9</v>
      </c>
      <c r="G37" s="41">
        <v>60</v>
      </c>
      <c r="H37" s="295">
        <v>98</v>
      </c>
      <c r="I37" s="295">
        <v>705</v>
      </c>
      <c r="J37" s="41">
        <v>9</v>
      </c>
      <c r="K37" s="191">
        <v>15.59</v>
      </c>
      <c r="L37" s="41">
        <v>8</v>
      </c>
      <c r="M37" s="44">
        <v>59</v>
      </c>
      <c r="N37" s="41">
        <v>9</v>
      </c>
      <c r="O37" s="187">
        <v>60.44</v>
      </c>
      <c r="P37" s="41">
        <v>5</v>
      </c>
      <c r="Q37" s="161">
        <f t="shared" si="3"/>
        <v>41</v>
      </c>
    </row>
    <row r="38" spans="1:20" s="83" customFormat="1" ht="12.75" x14ac:dyDescent="0.2">
      <c r="A38" s="56">
        <v>10</v>
      </c>
      <c r="B38" s="56" t="s">
        <v>452</v>
      </c>
      <c r="C38" s="44">
        <v>5.55</v>
      </c>
      <c r="D38" s="186">
        <f t="shared" si="5"/>
        <v>108.53976531942634</v>
      </c>
      <c r="E38" s="295">
        <v>12</v>
      </c>
      <c r="F38" s="295">
        <v>9</v>
      </c>
      <c r="G38" s="295">
        <v>59</v>
      </c>
      <c r="H38" s="295">
        <v>98</v>
      </c>
      <c r="I38" s="295">
        <v>719</v>
      </c>
      <c r="J38" s="295">
        <v>9</v>
      </c>
      <c r="K38" s="191">
        <v>14.36</v>
      </c>
      <c r="L38" s="295">
        <v>7</v>
      </c>
      <c r="M38" s="44">
        <v>60.5</v>
      </c>
      <c r="N38" s="295">
        <v>9</v>
      </c>
      <c r="O38" s="187">
        <v>61.64</v>
      </c>
      <c r="P38" s="295">
        <v>5</v>
      </c>
      <c r="Q38" s="161">
        <f t="shared" si="3"/>
        <v>42</v>
      </c>
    </row>
    <row r="39" spans="1:20" s="83" customFormat="1" ht="12.75" x14ac:dyDescent="0.2">
      <c r="A39" s="56">
        <v>11</v>
      </c>
      <c r="B39" s="56" t="s">
        <v>453</v>
      </c>
      <c r="C39" s="44">
        <v>5.45</v>
      </c>
      <c r="D39" s="186">
        <f t="shared" si="5"/>
        <v>106.58409387222946</v>
      </c>
      <c r="E39" s="295">
        <v>12</v>
      </c>
      <c r="F39" s="295">
        <v>9</v>
      </c>
      <c r="G39" s="295">
        <v>60</v>
      </c>
      <c r="H39" s="295">
        <v>98</v>
      </c>
      <c r="I39" s="295">
        <v>728</v>
      </c>
      <c r="J39" s="295">
        <v>9</v>
      </c>
      <c r="K39" s="191">
        <v>13.8</v>
      </c>
      <c r="L39" s="295">
        <v>6</v>
      </c>
      <c r="M39" s="44">
        <v>54.7</v>
      </c>
      <c r="N39" s="295">
        <v>9</v>
      </c>
      <c r="O39" s="187">
        <v>61.77</v>
      </c>
      <c r="P39" s="295">
        <v>5</v>
      </c>
      <c r="Q39" s="161">
        <f t="shared" si="3"/>
        <v>41</v>
      </c>
    </row>
    <row r="40" spans="1:20" s="83" customFormat="1" ht="12.75" x14ac:dyDescent="0.2">
      <c r="A40" s="56">
        <v>12</v>
      </c>
      <c r="B40" s="56" t="s">
        <v>215</v>
      </c>
      <c r="C40" s="44">
        <v>4.7699999999999996</v>
      </c>
      <c r="D40" s="186">
        <f t="shared" si="5"/>
        <v>93.285528031290738</v>
      </c>
      <c r="E40" s="41">
        <v>8</v>
      </c>
      <c r="F40" s="41">
        <v>9</v>
      </c>
      <c r="G40" s="41">
        <v>62</v>
      </c>
      <c r="H40" s="295">
        <v>98</v>
      </c>
      <c r="I40" s="295">
        <v>721</v>
      </c>
      <c r="J40" s="41">
        <v>9</v>
      </c>
      <c r="K40" s="191">
        <v>15.26</v>
      </c>
      <c r="L40" s="41">
        <v>8</v>
      </c>
      <c r="M40" s="44">
        <v>51.8</v>
      </c>
      <c r="N40" s="41">
        <v>9</v>
      </c>
      <c r="O40" s="187">
        <v>60.05</v>
      </c>
      <c r="P40" s="41">
        <v>4</v>
      </c>
      <c r="Q40" s="161">
        <f t="shared" si="3"/>
        <v>38</v>
      </c>
    </row>
    <row r="41" spans="1:20" s="83" customFormat="1" ht="12.75" x14ac:dyDescent="0.2">
      <c r="A41" s="56">
        <v>13</v>
      </c>
      <c r="B41" s="56" t="s">
        <v>217</v>
      </c>
      <c r="C41" s="44">
        <v>5.21</v>
      </c>
      <c r="D41" s="186">
        <f t="shared" si="5"/>
        <v>101.89048239895698</v>
      </c>
      <c r="E41" s="41">
        <v>10</v>
      </c>
      <c r="F41" s="41">
        <v>9</v>
      </c>
      <c r="G41" s="41">
        <v>65</v>
      </c>
      <c r="H41" s="295">
        <v>98</v>
      </c>
      <c r="I41" s="295">
        <v>713</v>
      </c>
      <c r="J41" s="41">
        <v>9</v>
      </c>
      <c r="K41" s="191">
        <v>15.01</v>
      </c>
      <c r="L41" s="41">
        <v>7</v>
      </c>
      <c r="M41" s="44">
        <v>58</v>
      </c>
      <c r="N41" s="41">
        <v>9</v>
      </c>
      <c r="O41" s="187">
        <v>60.31</v>
      </c>
      <c r="P41" s="41">
        <v>4</v>
      </c>
      <c r="Q41" s="161">
        <f t="shared" si="3"/>
        <v>39</v>
      </c>
    </row>
    <row r="43" spans="1:20" s="61" customFormat="1" x14ac:dyDescent="0.25">
      <c r="A43" s="99" t="s">
        <v>64</v>
      </c>
    </row>
    <row r="44" spans="1:20" s="83" customFormat="1" ht="12.75" x14ac:dyDescent="0.2">
      <c r="A44" s="254">
        <v>1</v>
      </c>
      <c r="B44" s="254" t="s">
        <v>212</v>
      </c>
      <c r="C44" s="249">
        <v>3.36</v>
      </c>
      <c r="D44" s="247">
        <v>100</v>
      </c>
      <c r="E44" s="247">
        <v>10</v>
      </c>
      <c r="F44" s="247">
        <v>9</v>
      </c>
      <c r="G44" s="247">
        <v>45</v>
      </c>
      <c r="H44" s="247">
        <v>89</v>
      </c>
      <c r="I44" s="251">
        <v>730</v>
      </c>
      <c r="J44" s="247">
        <v>9</v>
      </c>
      <c r="K44" s="250">
        <v>14.93</v>
      </c>
      <c r="L44" s="247">
        <v>7</v>
      </c>
      <c r="M44" s="249">
        <v>45.51</v>
      </c>
      <c r="N44" s="247">
        <v>7</v>
      </c>
      <c r="O44" s="250">
        <v>60.27</v>
      </c>
      <c r="P44" s="247">
        <v>5</v>
      </c>
      <c r="Q44" s="248">
        <f>SUM(E44+J44+L44+N44+P44)</f>
        <v>38</v>
      </c>
      <c r="R44" s="84"/>
    </row>
    <row r="45" spans="1:20" s="83" customFormat="1" ht="12.75" x14ac:dyDescent="0.2">
      <c r="A45" s="254">
        <v>2</v>
      </c>
      <c r="B45" s="254" t="s">
        <v>213</v>
      </c>
      <c r="C45" s="249">
        <v>3.55</v>
      </c>
      <c r="D45" s="247">
        <v>100</v>
      </c>
      <c r="E45" s="247">
        <v>10</v>
      </c>
      <c r="F45" s="247">
        <v>9</v>
      </c>
      <c r="G45" s="247">
        <v>42</v>
      </c>
      <c r="H45" s="247">
        <v>90</v>
      </c>
      <c r="I45" s="251">
        <v>730</v>
      </c>
      <c r="J45" s="247">
        <v>9</v>
      </c>
      <c r="K45" s="250">
        <v>14.54</v>
      </c>
      <c r="L45" s="247">
        <v>7</v>
      </c>
      <c r="M45" s="249">
        <v>49.3</v>
      </c>
      <c r="N45" s="247">
        <v>8</v>
      </c>
      <c r="O45" s="250">
        <v>60.29</v>
      </c>
      <c r="P45" s="247">
        <v>5</v>
      </c>
      <c r="Q45" s="248">
        <f t="shared" ref="Q45:Q57" si="6">SUM(E45+J45+L45+N45+P45)</f>
        <v>39</v>
      </c>
    </row>
    <row r="46" spans="1:20" s="83" customFormat="1" ht="12.75" x14ac:dyDescent="0.2">
      <c r="A46" s="254">
        <v>3</v>
      </c>
      <c r="B46" s="254" t="s">
        <v>214</v>
      </c>
      <c r="C46" s="249">
        <v>3.79</v>
      </c>
      <c r="D46" s="251">
        <v>100</v>
      </c>
      <c r="E46" s="247">
        <v>10</v>
      </c>
      <c r="F46" s="247">
        <v>9</v>
      </c>
      <c r="G46" s="247">
        <v>44</v>
      </c>
      <c r="H46" s="247">
        <v>92</v>
      </c>
      <c r="I46" s="251">
        <v>711</v>
      </c>
      <c r="J46" s="247">
        <v>9</v>
      </c>
      <c r="K46" s="250">
        <v>14.04</v>
      </c>
      <c r="L46" s="247">
        <v>6</v>
      </c>
      <c r="M46" s="249">
        <v>50.98</v>
      </c>
      <c r="N46" s="247">
        <v>9</v>
      </c>
      <c r="O46" s="250">
        <v>62.63</v>
      </c>
      <c r="P46" s="247">
        <v>6</v>
      </c>
      <c r="Q46" s="248">
        <f t="shared" si="6"/>
        <v>40</v>
      </c>
      <c r="S46" s="198"/>
      <c r="T46" s="198"/>
    </row>
    <row r="47" spans="1:20" s="83" customFormat="1" ht="12.75" x14ac:dyDescent="0.2">
      <c r="A47" s="271"/>
      <c r="B47" s="271" t="s">
        <v>300</v>
      </c>
      <c r="C47" s="273">
        <f>SUM(C44:C46)/3</f>
        <v>3.5666666666666664</v>
      </c>
      <c r="D47" s="275">
        <v>100</v>
      </c>
      <c r="E47" s="274">
        <v>10</v>
      </c>
      <c r="F47" s="275">
        <f t="shared" ref="F47:I47" si="7">SUM(F44:F46)/3</f>
        <v>9</v>
      </c>
      <c r="G47" s="275">
        <f t="shared" si="7"/>
        <v>43.666666666666664</v>
      </c>
      <c r="H47" s="275">
        <f t="shared" si="7"/>
        <v>90.333333333333329</v>
      </c>
      <c r="I47" s="275">
        <f t="shared" si="7"/>
        <v>723.66666666666663</v>
      </c>
      <c r="J47" s="274">
        <v>9</v>
      </c>
      <c r="K47" s="276">
        <f>SUM(K44:K46)/3</f>
        <v>14.503333333333332</v>
      </c>
      <c r="L47" s="274">
        <v>7</v>
      </c>
      <c r="M47" s="273">
        <f>SUM(M44:M46)/3</f>
        <v>48.596666666666664</v>
      </c>
      <c r="N47" s="274">
        <v>8</v>
      </c>
      <c r="O47" s="276">
        <f>SUM(O44:O46)/3</f>
        <v>61.063333333333333</v>
      </c>
      <c r="P47" s="274">
        <v>5</v>
      </c>
      <c r="Q47" s="281">
        <f t="shared" si="6"/>
        <v>39</v>
      </c>
      <c r="S47" s="198"/>
      <c r="T47" s="198"/>
    </row>
    <row r="48" spans="1:20" s="83" customFormat="1" ht="12.75" x14ac:dyDescent="0.2">
      <c r="A48" s="56">
        <v>4</v>
      </c>
      <c r="B48" s="56" t="s">
        <v>447</v>
      </c>
      <c r="C48" s="44">
        <v>4.13</v>
      </c>
      <c r="D48" s="42">
        <f>C48*100/AVERAGE($C$44:$C$46)</f>
        <v>115.79439252336449</v>
      </c>
      <c r="E48" s="41">
        <v>14</v>
      </c>
      <c r="F48" s="41">
        <v>9</v>
      </c>
      <c r="G48" s="41">
        <v>43</v>
      </c>
      <c r="H48" s="41">
        <v>95</v>
      </c>
      <c r="I48" s="186">
        <v>700</v>
      </c>
      <c r="J48" s="41">
        <v>8</v>
      </c>
      <c r="K48" s="187">
        <v>13.09</v>
      </c>
      <c r="L48" s="41">
        <v>6</v>
      </c>
      <c r="M48" s="188">
        <v>54.01</v>
      </c>
      <c r="N48" s="41">
        <v>9</v>
      </c>
      <c r="O48" s="187">
        <v>62.51</v>
      </c>
      <c r="P48" s="41">
        <v>6</v>
      </c>
      <c r="Q48" s="161">
        <f t="shared" si="6"/>
        <v>43</v>
      </c>
    </row>
    <row r="49" spans="1:20" s="83" customFormat="1" ht="12.75" x14ac:dyDescent="0.2">
      <c r="A49" s="56">
        <v>5</v>
      </c>
      <c r="B49" s="56" t="s">
        <v>216</v>
      </c>
      <c r="C49" s="44">
        <v>4.18</v>
      </c>
      <c r="D49" s="186">
        <f t="shared" ref="D49:D57" si="8">C49*100/AVERAGE($C$44:$C$46)</f>
        <v>117.196261682243</v>
      </c>
      <c r="E49" s="41">
        <v>14</v>
      </c>
      <c r="F49" s="41">
        <v>9</v>
      </c>
      <c r="G49" s="41">
        <v>40</v>
      </c>
      <c r="H49" s="41">
        <v>90</v>
      </c>
      <c r="I49" s="186">
        <v>731</v>
      </c>
      <c r="J49" s="41">
        <v>9</v>
      </c>
      <c r="K49" s="187">
        <v>13.25</v>
      </c>
      <c r="L49" s="41">
        <v>6</v>
      </c>
      <c r="M49" s="188">
        <v>47.18</v>
      </c>
      <c r="N49" s="41">
        <v>7</v>
      </c>
      <c r="O49" s="187">
        <v>61.99</v>
      </c>
      <c r="P49" s="41">
        <v>6</v>
      </c>
      <c r="Q49" s="161">
        <f t="shared" si="6"/>
        <v>42</v>
      </c>
    </row>
    <row r="50" spans="1:20" s="83" customFormat="1" ht="12.75" x14ac:dyDescent="0.2">
      <c r="A50" s="56">
        <v>6</v>
      </c>
      <c r="B50" s="56" t="s">
        <v>448</v>
      </c>
      <c r="C50" s="44">
        <v>3.76</v>
      </c>
      <c r="D50" s="186">
        <f t="shared" si="8"/>
        <v>105.42056074766356</v>
      </c>
      <c r="E50" s="41">
        <v>10</v>
      </c>
      <c r="F50" s="41">
        <v>9</v>
      </c>
      <c r="G50" s="41">
        <v>49</v>
      </c>
      <c r="H50" s="41">
        <v>92</v>
      </c>
      <c r="I50" s="186">
        <v>722</v>
      </c>
      <c r="J50" s="41">
        <v>9</v>
      </c>
      <c r="K50" s="187">
        <v>13.96</v>
      </c>
      <c r="L50" s="41">
        <v>6</v>
      </c>
      <c r="M50" s="188">
        <v>50.11</v>
      </c>
      <c r="N50" s="41">
        <v>9</v>
      </c>
      <c r="O50" s="187">
        <v>61.85</v>
      </c>
      <c r="P50" s="41">
        <v>5</v>
      </c>
      <c r="Q50" s="161">
        <f t="shared" si="6"/>
        <v>39</v>
      </c>
    </row>
    <row r="51" spans="1:20" s="83" customFormat="1" ht="12.75" x14ac:dyDescent="0.2">
      <c r="A51" s="56">
        <v>7</v>
      </c>
      <c r="B51" s="56" t="s">
        <v>449</v>
      </c>
      <c r="C51" s="44">
        <v>3.77</v>
      </c>
      <c r="D51" s="186">
        <f t="shared" si="8"/>
        <v>105.70093457943926</v>
      </c>
      <c r="E51" s="41">
        <v>12</v>
      </c>
      <c r="F51" s="41">
        <v>9</v>
      </c>
      <c r="G51" s="41">
        <v>46</v>
      </c>
      <c r="H51" s="41">
        <v>95</v>
      </c>
      <c r="I51" s="186">
        <v>728</v>
      </c>
      <c r="J51" s="41">
        <v>9</v>
      </c>
      <c r="K51" s="191">
        <v>13.9</v>
      </c>
      <c r="L51" s="41">
        <v>6</v>
      </c>
      <c r="M51" s="188">
        <v>48.15</v>
      </c>
      <c r="N51" s="41">
        <v>8</v>
      </c>
      <c r="O51" s="187">
        <v>62.3</v>
      </c>
      <c r="P51" s="41">
        <v>6</v>
      </c>
      <c r="Q51" s="161">
        <f t="shared" si="6"/>
        <v>41</v>
      </c>
    </row>
    <row r="52" spans="1:20" s="83" customFormat="1" ht="12.75" x14ac:dyDescent="0.2">
      <c r="A52" s="56">
        <v>8</v>
      </c>
      <c r="B52" s="56" t="s">
        <v>450</v>
      </c>
      <c r="C52" s="44">
        <v>4.0199999999999996</v>
      </c>
      <c r="D52" s="186">
        <f t="shared" si="8"/>
        <v>112.71028037383176</v>
      </c>
      <c r="E52" s="41">
        <v>12</v>
      </c>
      <c r="F52" s="41">
        <v>9</v>
      </c>
      <c r="G52" s="41">
        <v>42</v>
      </c>
      <c r="H52" s="41">
        <v>93</v>
      </c>
      <c r="I52" s="186">
        <v>729</v>
      </c>
      <c r="J52" s="41">
        <v>9</v>
      </c>
      <c r="K52" s="191">
        <v>13.05</v>
      </c>
      <c r="L52" s="41">
        <v>6</v>
      </c>
      <c r="M52" s="188">
        <v>49.17</v>
      </c>
      <c r="N52" s="41">
        <v>8</v>
      </c>
      <c r="O52" s="187">
        <v>62.5</v>
      </c>
      <c r="P52" s="41">
        <v>6</v>
      </c>
      <c r="Q52" s="161">
        <f t="shared" si="6"/>
        <v>41</v>
      </c>
    </row>
    <row r="53" spans="1:20" s="83" customFormat="1" ht="12.75" x14ac:dyDescent="0.2">
      <c r="A53" s="56">
        <v>9</v>
      </c>
      <c r="B53" s="56" t="s">
        <v>451</v>
      </c>
      <c r="C53" s="44">
        <v>3.41</v>
      </c>
      <c r="D53" s="186">
        <f t="shared" si="8"/>
        <v>95.607476635514018</v>
      </c>
      <c r="E53" s="41">
        <v>10</v>
      </c>
      <c r="F53" s="41">
        <v>9</v>
      </c>
      <c r="G53" s="41">
        <v>44</v>
      </c>
      <c r="H53" s="41">
        <v>93</v>
      </c>
      <c r="I53" s="186">
        <v>711</v>
      </c>
      <c r="J53" s="41">
        <v>9</v>
      </c>
      <c r="K53" s="191">
        <v>15.08</v>
      </c>
      <c r="L53" s="41">
        <v>8</v>
      </c>
      <c r="M53" s="188">
        <v>50.46</v>
      </c>
      <c r="N53" s="41">
        <v>9</v>
      </c>
      <c r="O53" s="187">
        <v>60.71</v>
      </c>
      <c r="P53" s="41">
        <v>5</v>
      </c>
      <c r="Q53" s="161">
        <f t="shared" si="6"/>
        <v>41</v>
      </c>
    </row>
    <row r="54" spans="1:20" s="83" customFormat="1" ht="12.75" x14ac:dyDescent="0.2">
      <c r="A54" s="56">
        <v>10</v>
      </c>
      <c r="B54" s="56" t="s">
        <v>452</v>
      </c>
      <c r="C54" s="44">
        <v>4.07</v>
      </c>
      <c r="D54" s="186">
        <f t="shared" si="8"/>
        <v>114.11214953271029</v>
      </c>
      <c r="E54" s="295">
        <v>12</v>
      </c>
      <c r="F54" s="295">
        <v>9</v>
      </c>
      <c r="G54" s="295">
        <v>45</v>
      </c>
      <c r="H54" s="295">
        <v>90</v>
      </c>
      <c r="I54" s="186">
        <v>728</v>
      </c>
      <c r="J54" s="295">
        <v>9</v>
      </c>
      <c r="K54" s="191">
        <v>12.89</v>
      </c>
      <c r="L54" s="295">
        <v>5</v>
      </c>
      <c r="M54" s="188">
        <v>51.01</v>
      </c>
      <c r="N54" s="295">
        <v>9</v>
      </c>
      <c r="O54" s="187">
        <v>62.53</v>
      </c>
      <c r="P54" s="295">
        <v>6</v>
      </c>
      <c r="Q54" s="161">
        <f t="shared" si="6"/>
        <v>41</v>
      </c>
    </row>
    <row r="55" spans="1:20" s="83" customFormat="1" ht="12.75" x14ac:dyDescent="0.2">
      <c r="A55" s="56">
        <v>11</v>
      </c>
      <c r="B55" s="56" t="s">
        <v>453</v>
      </c>
      <c r="C55" s="44">
        <v>4.32</v>
      </c>
      <c r="D55" s="186">
        <f t="shared" si="8"/>
        <v>121.12149532710281</v>
      </c>
      <c r="E55" s="295">
        <v>14</v>
      </c>
      <c r="F55" s="295">
        <v>9</v>
      </c>
      <c r="G55" s="295">
        <v>45</v>
      </c>
      <c r="H55" s="295">
        <v>90</v>
      </c>
      <c r="I55" s="186">
        <v>715</v>
      </c>
      <c r="J55" s="295">
        <v>9</v>
      </c>
      <c r="K55" s="191">
        <v>13.04</v>
      </c>
      <c r="L55" s="295">
        <v>5</v>
      </c>
      <c r="M55" s="188">
        <v>47.81</v>
      </c>
      <c r="N55" s="295">
        <v>7</v>
      </c>
      <c r="O55" s="187">
        <v>61.64</v>
      </c>
      <c r="P55" s="295">
        <v>5</v>
      </c>
      <c r="Q55" s="161">
        <f t="shared" si="6"/>
        <v>40</v>
      </c>
    </row>
    <row r="56" spans="1:20" s="83" customFormat="1" ht="12.75" x14ac:dyDescent="0.2">
      <c r="A56" s="56">
        <v>12</v>
      </c>
      <c r="B56" s="56" t="s">
        <v>215</v>
      </c>
      <c r="C56" s="44">
        <v>3.85</v>
      </c>
      <c r="D56" s="186">
        <f t="shared" si="8"/>
        <v>107.94392523364486</v>
      </c>
      <c r="E56" s="41">
        <v>12</v>
      </c>
      <c r="F56" s="41">
        <v>9</v>
      </c>
      <c r="G56" s="41">
        <v>42</v>
      </c>
      <c r="H56" s="41">
        <v>93</v>
      </c>
      <c r="I56" s="186">
        <v>725</v>
      </c>
      <c r="J56" s="41">
        <v>9</v>
      </c>
      <c r="K56" s="191">
        <v>13.88</v>
      </c>
      <c r="L56" s="41">
        <v>6</v>
      </c>
      <c r="M56" s="188">
        <v>47.18</v>
      </c>
      <c r="N56" s="41">
        <v>7</v>
      </c>
      <c r="O56" s="187">
        <v>61.84</v>
      </c>
      <c r="P56" s="41">
        <v>5</v>
      </c>
      <c r="Q56" s="161">
        <f t="shared" si="6"/>
        <v>39</v>
      </c>
    </row>
    <row r="57" spans="1:20" s="83" customFormat="1" ht="12.75" x14ac:dyDescent="0.2">
      <c r="A57" s="56">
        <v>13</v>
      </c>
      <c r="B57" s="56" t="s">
        <v>217</v>
      </c>
      <c r="C57" s="44">
        <v>4.2</v>
      </c>
      <c r="D57" s="186">
        <f t="shared" si="8"/>
        <v>117.7570093457944</v>
      </c>
      <c r="E57" s="41">
        <v>14</v>
      </c>
      <c r="F57" s="41">
        <v>9</v>
      </c>
      <c r="G57" s="41">
        <v>47</v>
      </c>
      <c r="H57" s="41">
        <v>94</v>
      </c>
      <c r="I57" s="186">
        <v>716</v>
      </c>
      <c r="J57" s="41">
        <v>9</v>
      </c>
      <c r="K57" s="191">
        <v>13.64</v>
      </c>
      <c r="L57" s="41">
        <v>6</v>
      </c>
      <c r="M57" s="188">
        <v>50.65</v>
      </c>
      <c r="N57" s="41">
        <v>9</v>
      </c>
      <c r="O57" s="187">
        <v>61.6</v>
      </c>
      <c r="P57" s="41">
        <v>5</v>
      </c>
      <c r="Q57" s="161">
        <f t="shared" si="6"/>
        <v>43</v>
      </c>
    </row>
    <row r="59" spans="1:20" s="61" customFormat="1" x14ac:dyDescent="0.25">
      <c r="A59" s="99" t="s">
        <v>293</v>
      </c>
    </row>
    <row r="60" spans="1:20" s="83" customFormat="1" ht="12.75" x14ac:dyDescent="0.2">
      <c r="A60" s="254">
        <v>1</v>
      </c>
      <c r="B60" s="254" t="s">
        <v>212</v>
      </c>
      <c r="C60" s="249">
        <f>SUM(C12+C28+C44)/3</f>
        <v>3.2366666666666664</v>
      </c>
      <c r="D60" s="247">
        <v>100</v>
      </c>
      <c r="E60" s="247">
        <v>10</v>
      </c>
      <c r="F60" s="251">
        <f t="shared" ref="F60:I62" si="9">SUM(F12+F28+F44)/3</f>
        <v>9</v>
      </c>
      <c r="G60" s="251">
        <f t="shared" si="9"/>
        <v>49.666666666666664</v>
      </c>
      <c r="H60" s="252">
        <f t="shared" si="9"/>
        <v>89.666666666666671</v>
      </c>
      <c r="I60" s="251">
        <f t="shared" si="9"/>
        <v>737.33333333333337</v>
      </c>
      <c r="J60" s="247">
        <v>9</v>
      </c>
      <c r="K60" s="250">
        <f>SUM(K12+K28+K44)/3</f>
        <v>15.38</v>
      </c>
      <c r="L60" s="247">
        <v>8</v>
      </c>
      <c r="M60" s="249">
        <f>SUM(M12+M28+M44)/3</f>
        <v>48.943333333333328</v>
      </c>
      <c r="N60" s="247">
        <v>8</v>
      </c>
      <c r="O60" s="250">
        <f>SUM(O12+O28+O44)/3</f>
        <v>59.876666666666665</v>
      </c>
      <c r="P60" s="247">
        <v>4</v>
      </c>
      <c r="Q60" s="248">
        <f>SUM(E60+J60+L60+N60+P60)</f>
        <v>39</v>
      </c>
      <c r="R60" s="84"/>
    </row>
    <row r="61" spans="1:20" s="83" customFormat="1" ht="12.75" x14ac:dyDescent="0.2">
      <c r="A61" s="254">
        <v>2</v>
      </c>
      <c r="B61" s="254" t="s">
        <v>213</v>
      </c>
      <c r="C61" s="249">
        <f>SUM(C13+C29+C45)/3</f>
        <v>3.313333333333333</v>
      </c>
      <c r="D61" s="247">
        <v>100</v>
      </c>
      <c r="E61" s="247">
        <v>10</v>
      </c>
      <c r="F61" s="251">
        <f t="shared" si="9"/>
        <v>9</v>
      </c>
      <c r="G61" s="251">
        <f t="shared" si="9"/>
        <v>51.666666666666664</v>
      </c>
      <c r="H61" s="252">
        <f t="shared" si="9"/>
        <v>91</v>
      </c>
      <c r="I61" s="251">
        <f t="shared" si="9"/>
        <v>729</v>
      </c>
      <c r="J61" s="247">
        <v>9</v>
      </c>
      <c r="K61" s="250">
        <f>SUM(K13+K29+K45)/3</f>
        <v>15.273333333333332</v>
      </c>
      <c r="L61" s="247">
        <v>8</v>
      </c>
      <c r="M61" s="249">
        <f>SUM(M13+M29+M45)/3</f>
        <v>51.626666666666665</v>
      </c>
      <c r="N61" s="247">
        <v>9</v>
      </c>
      <c r="O61" s="250">
        <f>SUM(O13+O29+O45)/3</f>
        <v>59.859999999999992</v>
      </c>
      <c r="P61" s="247">
        <v>4</v>
      </c>
      <c r="Q61" s="248">
        <f t="shared" ref="Q61:Q73" si="10">SUM(E61+J61+L61+N61+P61)</f>
        <v>40</v>
      </c>
    </row>
    <row r="62" spans="1:20" s="83" customFormat="1" ht="12.75" x14ac:dyDescent="0.2">
      <c r="A62" s="254">
        <v>3</v>
      </c>
      <c r="B62" s="254" t="s">
        <v>214</v>
      </c>
      <c r="C62" s="249">
        <f>SUM(C14+C30+C46)/3</f>
        <v>4</v>
      </c>
      <c r="D62" s="251">
        <v>100</v>
      </c>
      <c r="E62" s="247">
        <v>10</v>
      </c>
      <c r="F62" s="251">
        <f t="shared" si="9"/>
        <v>9</v>
      </c>
      <c r="G62" s="251">
        <f t="shared" si="9"/>
        <v>52.666666666666664</v>
      </c>
      <c r="H62" s="252">
        <f t="shared" si="9"/>
        <v>93</v>
      </c>
      <c r="I62" s="251">
        <f t="shared" si="9"/>
        <v>716.33333333333337</v>
      </c>
      <c r="J62" s="247">
        <v>9</v>
      </c>
      <c r="K62" s="250">
        <f>SUM(K14+K30+K46)/3</f>
        <v>14.203333333333333</v>
      </c>
      <c r="L62" s="247">
        <v>7</v>
      </c>
      <c r="M62" s="249">
        <f>SUM(M14+M30+M46)/3</f>
        <v>54.25333333333333</v>
      </c>
      <c r="N62" s="247">
        <v>9</v>
      </c>
      <c r="O62" s="250">
        <f>SUM(O14+O30+O46)/3</f>
        <v>62.04666666666666</v>
      </c>
      <c r="P62" s="247">
        <v>6</v>
      </c>
      <c r="Q62" s="248">
        <f t="shared" si="10"/>
        <v>41</v>
      </c>
      <c r="S62" s="198"/>
      <c r="T62" s="198"/>
    </row>
    <row r="63" spans="1:20" s="83" customFormat="1" ht="12.75" x14ac:dyDescent="0.2">
      <c r="A63" s="271"/>
      <c r="B63" s="271" t="s">
        <v>301</v>
      </c>
      <c r="C63" s="273">
        <f>SUM(C60:C62)/3</f>
        <v>3.5166666666666662</v>
      </c>
      <c r="D63" s="275">
        <v>100</v>
      </c>
      <c r="E63" s="274">
        <v>10</v>
      </c>
      <c r="F63" s="275">
        <f t="shared" ref="F63:I63" si="11">SUM(F60:F62)/3</f>
        <v>9</v>
      </c>
      <c r="G63" s="275">
        <f t="shared" si="11"/>
        <v>51.333333333333336</v>
      </c>
      <c r="H63" s="275">
        <f t="shared" si="11"/>
        <v>91.222222222222229</v>
      </c>
      <c r="I63" s="275">
        <f t="shared" si="11"/>
        <v>727.55555555555566</v>
      </c>
      <c r="J63" s="274">
        <v>9</v>
      </c>
      <c r="K63" s="276">
        <f>SUM(K60:K62)/3</f>
        <v>14.952222222222224</v>
      </c>
      <c r="L63" s="274">
        <v>7</v>
      </c>
      <c r="M63" s="273">
        <f>SUM(M60:M62)/3</f>
        <v>51.607777777777777</v>
      </c>
      <c r="N63" s="274">
        <v>9</v>
      </c>
      <c r="O63" s="276">
        <f>SUM(O60:O62)/3</f>
        <v>60.594444444444434</v>
      </c>
      <c r="P63" s="274">
        <v>5</v>
      </c>
      <c r="Q63" s="281">
        <f t="shared" si="10"/>
        <v>40</v>
      </c>
      <c r="S63" s="198"/>
      <c r="T63" s="198"/>
    </row>
    <row r="64" spans="1:20" s="83" customFormat="1" ht="12.75" x14ac:dyDescent="0.2">
      <c r="A64" s="56">
        <v>4</v>
      </c>
      <c r="B64" s="56" t="s">
        <v>447</v>
      </c>
      <c r="C64" s="47">
        <f t="shared" ref="C64:C69" si="12">SUM(C16+C32+C48)/3</f>
        <v>4.0633333333333335</v>
      </c>
      <c r="D64" s="48">
        <f>C64*100/AVERAGE($C$60:$C$62)</f>
        <v>115.54502369668249</v>
      </c>
      <c r="E64" s="49">
        <v>14</v>
      </c>
      <c r="F64" s="48">
        <f t="shared" ref="F64:I69" si="13">SUM(F16+F32+F48)/3</f>
        <v>9</v>
      </c>
      <c r="G64" s="48">
        <f t="shared" si="13"/>
        <v>51.333333333333336</v>
      </c>
      <c r="H64" s="59">
        <f t="shared" si="13"/>
        <v>94</v>
      </c>
      <c r="I64" s="48">
        <f t="shared" si="13"/>
        <v>708.66666666666663</v>
      </c>
      <c r="J64" s="49">
        <v>9</v>
      </c>
      <c r="K64" s="50">
        <f t="shared" ref="K64:K69" si="14">SUM(K16+K32+K48)/3</f>
        <v>14.069999999999999</v>
      </c>
      <c r="L64" s="49">
        <v>7</v>
      </c>
      <c r="M64" s="47">
        <f t="shared" ref="M64:M69" si="15">SUM(M16+M32+M48)/3</f>
        <v>56.523333333333333</v>
      </c>
      <c r="N64" s="49">
        <v>9</v>
      </c>
      <c r="O64" s="50">
        <f t="shared" ref="O64:O69" si="16">SUM(O16+O32+O48)/3</f>
        <v>61.830000000000005</v>
      </c>
      <c r="P64" s="41">
        <v>5</v>
      </c>
      <c r="Q64" s="161">
        <f t="shared" si="10"/>
        <v>44</v>
      </c>
    </row>
    <row r="65" spans="1:17" s="83" customFormat="1" ht="12.75" x14ac:dyDescent="0.2">
      <c r="A65" s="56">
        <v>5</v>
      </c>
      <c r="B65" s="56" t="s">
        <v>216</v>
      </c>
      <c r="C65" s="47">
        <f t="shared" si="12"/>
        <v>3.9733333333333327</v>
      </c>
      <c r="D65" s="189">
        <f t="shared" ref="D65:D73" si="17">C65*100/AVERAGE($C$60:$C$62)</f>
        <v>112.98578199052132</v>
      </c>
      <c r="E65" s="49">
        <v>12</v>
      </c>
      <c r="F65" s="48">
        <f t="shared" si="13"/>
        <v>9</v>
      </c>
      <c r="G65" s="48">
        <f t="shared" si="13"/>
        <v>47.333333333333336</v>
      </c>
      <c r="H65" s="59">
        <f t="shared" si="13"/>
        <v>92</v>
      </c>
      <c r="I65" s="48">
        <f t="shared" si="13"/>
        <v>736</v>
      </c>
      <c r="J65" s="49">
        <v>9</v>
      </c>
      <c r="K65" s="50">
        <f t="shared" si="14"/>
        <v>13.770000000000001</v>
      </c>
      <c r="L65" s="49">
        <v>6</v>
      </c>
      <c r="M65" s="47">
        <f t="shared" si="15"/>
        <v>51.129999999999995</v>
      </c>
      <c r="N65" s="49">
        <v>9</v>
      </c>
      <c r="O65" s="50">
        <f t="shared" si="16"/>
        <v>61.956666666666671</v>
      </c>
      <c r="P65" s="41">
        <v>6</v>
      </c>
      <c r="Q65" s="161">
        <f t="shared" si="10"/>
        <v>42</v>
      </c>
    </row>
    <row r="66" spans="1:17" s="83" customFormat="1" ht="12.75" x14ac:dyDescent="0.2">
      <c r="A66" s="56">
        <v>6</v>
      </c>
      <c r="B66" s="56" t="s">
        <v>448</v>
      </c>
      <c r="C66" s="47">
        <f t="shared" si="12"/>
        <v>3.8733333333333335</v>
      </c>
      <c r="D66" s="189">
        <f t="shared" si="17"/>
        <v>110.14218009478675</v>
      </c>
      <c r="E66" s="49">
        <v>12</v>
      </c>
      <c r="F66" s="48">
        <f t="shared" si="13"/>
        <v>9</v>
      </c>
      <c r="G66" s="48">
        <f t="shared" si="13"/>
        <v>51.333333333333336</v>
      </c>
      <c r="H66" s="59">
        <f t="shared" si="13"/>
        <v>92.666666666666671</v>
      </c>
      <c r="I66" s="48">
        <f t="shared" si="13"/>
        <v>715.33333333333337</v>
      </c>
      <c r="J66" s="49">
        <v>9</v>
      </c>
      <c r="K66" s="50">
        <f t="shared" si="14"/>
        <v>14.256666666666668</v>
      </c>
      <c r="L66" s="49">
        <v>7</v>
      </c>
      <c r="M66" s="47">
        <f t="shared" si="15"/>
        <v>53.120000000000005</v>
      </c>
      <c r="N66" s="49">
        <v>9</v>
      </c>
      <c r="O66" s="50">
        <f t="shared" si="16"/>
        <v>61.423333333333325</v>
      </c>
      <c r="P66" s="41">
        <v>5</v>
      </c>
      <c r="Q66" s="161">
        <f t="shared" si="10"/>
        <v>42</v>
      </c>
    </row>
    <row r="67" spans="1:17" s="83" customFormat="1" ht="12.75" x14ac:dyDescent="0.2">
      <c r="A67" s="56">
        <v>7</v>
      </c>
      <c r="B67" s="56" t="s">
        <v>449</v>
      </c>
      <c r="C67" s="47">
        <f t="shared" si="12"/>
        <v>3.9433333333333329</v>
      </c>
      <c r="D67" s="189">
        <f t="shared" si="17"/>
        <v>112.13270142180096</v>
      </c>
      <c r="E67" s="49">
        <v>12</v>
      </c>
      <c r="F67" s="48">
        <f t="shared" si="13"/>
        <v>9</v>
      </c>
      <c r="G67" s="48">
        <f t="shared" si="13"/>
        <v>53.333333333333336</v>
      </c>
      <c r="H67" s="59">
        <f t="shared" si="13"/>
        <v>94.333333333333329</v>
      </c>
      <c r="I67" s="48">
        <f t="shared" si="13"/>
        <v>727</v>
      </c>
      <c r="J67" s="49">
        <v>9</v>
      </c>
      <c r="K67" s="191">
        <f t="shared" si="14"/>
        <v>13.973333333333334</v>
      </c>
      <c r="L67" s="49">
        <v>6</v>
      </c>
      <c r="M67" s="47">
        <f t="shared" si="15"/>
        <v>52.193333333333335</v>
      </c>
      <c r="N67" s="49">
        <v>9</v>
      </c>
      <c r="O67" s="50">
        <f t="shared" si="16"/>
        <v>62.20000000000001</v>
      </c>
      <c r="P67" s="41">
        <v>6</v>
      </c>
      <c r="Q67" s="161">
        <f t="shared" si="10"/>
        <v>42</v>
      </c>
    </row>
    <row r="68" spans="1:17" s="83" customFormat="1" ht="12.75" x14ac:dyDescent="0.2">
      <c r="A68" s="56">
        <v>8</v>
      </c>
      <c r="B68" s="56" t="s">
        <v>450</v>
      </c>
      <c r="C68" s="47">
        <f t="shared" si="12"/>
        <v>4.0366666666666662</v>
      </c>
      <c r="D68" s="189">
        <f t="shared" si="17"/>
        <v>114.78672985781991</v>
      </c>
      <c r="E68" s="49">
        <v>12</v>
      </c>
      <c r="F68" s="48">
        <f t="shared" si="13"/>
        <v>9</v>
      </c>
      <c r="G68" s="48">
        <f t="shared" si="13"/>
        <v>48.333333333333336</v>
      </c>
      <c r="H68" s="59">
        <f t="shared" si="13"/>
        <v>93</v>
      </c>
      <c r="I68" s="48">
        <f t="shared" si="13"/>
        <v>725</v>
      </c>
      <c r="J68" s="49">
        <v>9</v>
      </c>
      <c r="K68" s="191">
        <f t="shared" si="14"/>
        <v>13.623333333333335</v>
      </c>
      <c r="L68" s="49">
        <v>6</v>
      </c>
      <c r="M68" s="47">
        <f t="shared" si="15"/>
        <v>52.870000000000005</v>
      </c>
      <c r="N68" s="49">
        <v>9</v>
      </c>
      <c r="O68" s="50">
        <f t="shared" si="16"/>
        <v>62.1</v>
      </c>
      <c r="P68" s="41">
        <v>6</v>
      </c>
      <c r="Q68" s="161">
        <f t="shared" si="10"/>
        <v>42</v>
      </c>
    </row>
    <row r="69" spans="1:17" s="83" customFormat="1" ht="12.75" x14ac:dyDescent="0.2">
      <c r="A69" s="56">
        <v>9</v>
      </c>
      <c r="B69" s="56" t="s">
        <v>451</v>
      </c>
      <c r="C69" s="47">
        <f t="shared" si="12"/>
        <v>3.6333333333333333</v>
      </c>
      <c r="D69" s="189">
        <f t="shared" si="17"/>
        <v>103.3175355450237</v>
      </c>
      <c r="E69" s="49">
        <v>10</v>
      </c>
      <c r="F69" s="48">
        <f t="shared" si="13"/>
        <v>9</v>
      </c>
      <c r="G69" s="48">
        <f t="shared" si="13"/>
        <v>48.666666666666664</v>
      </c>
      <c r="H69" s="59">
        <f t="shared" si="13"/>
        <v>93.333333333333329</v>
      </c>
      <c r="I69" s="48">
        <f t="shared" si="13"/>
        <v>713.33333333333337</v>
      </c>
      <c r="J69" s="49">
        <v>9</v>
      </c>
      <c r="K69" s="191">
        <f t="shared" si="14"/>
        <v>14.71</v>
      </c>
      <c r="L69" s="49">
        <v>7</v>
      </c>
      <c r="M69" s="47">
        <f t="shared" si="15"/>
        <v>53.98</v>
      </c>
      <c r="N69" s="49">
        <v>9</v>
      </c>
      <c r="O69" s="50">
        <f t="shared" si="16"/>
        <v>61.216666666666669</v>
      </c>
      <c r="P69" s="41">
        <v>5</v>
      </c>
      <c r="Q69" s="161">
        <f t="shared" si="10"/>
        <v>40</v>
      </c>
    </row>
    <row r="70" spans="1:17" s="83" customFormat="1" ht="12.75" x14ac:dyDescent="0.2">
      <c r="A70" s="56">
        <v>10</v>
      </c>
      <c r="B70" s="56" t="s">
        <v>452</v>
      </c>
      <c r="C70" s="188">
        <f t="shared" ref="C70:C71" si="18">SUM(C22+C38+C54)/3</f>
        <v>3.956666666666667</v>
      </c>
      <c r="D70" s="189">
        <f t="shared" si="17"/>
        <v>112.51184834123225</v>
      </c>
      <c r="E70" s="190">
        <v>12</v>
      </c>
      <c r="F70" s="189">
        <f t="shared" ref="F70:I71" si="19">SUM(F22+F38+F54)/3</f>
        <v>9</v>
      </c>
      <c r="G70" s="189">
        <f t="shared" si="19"/>
        <v>50.666666666666664</v>
      </c>
      <c r="H70" s="194">
        <f t="shared" si="19"/>
        <v>91.333333333333329</v>
      </c>
      <c r="I70" s="189">
        <f t="shared" si="19"/>
        <v>727.33333333333337</v>
      </c>
      <c r="J70" s="190">
        <v>9</v>
      </c>
      <c r="K70" s="191">
        <f t="shared" ref="K70:K71" si="20">SUM(K22+K38+K54)/3</f>
        <v>13.21</v>
      </c>
      <c r="L70" s="190">
        <v>6</v>
      </c>
      <c r="M70" s="188">
        <f t="shared" ref="M70:M71" si="21">SUM(M22+M38+M54)/3</f>
        <v>54.609999999999992</v>
      </c>
      <c r="N70" s="190">
        <v>9</v>
      </c>
      <c r="O70" s="191">
        <f t="shared" ref="O70:O71" si="22">SUM(O22+O38+O54)/3</f>
        <v>62.426666666666669</v>
      </c>
      <c r="P70" s="295">
        <v>6</v>
      </c>
      <c r="Q70" s="161">
        <f t="shared" ref="Q70:Q71" si="23">SUM(E70+J70+L70+N70+P70)</f>
        <v>42</v>
      </c>
    </row>
    <row r="71" spans="1:17" s="83" customFormat="1" ht="12.75" x14ac:dyDescent="0.2">
      <c r="A71" s="56">
        <v>11</v>
      </c>
      <c r="B71" s="56" t="s">
        <v>453</v>
      </c>
      <c r="C71" s="188">
        <f t="shared" si="18"/>
        <v>4.0200000000000005</v>
      </c>
      <c r="D71" s="189">
        <f t="shared" si="17"/>
        <v>114.31279620853084</v>
      </c>
      <c r="E71" s="190">
        <v>12</v>
      </c>
      <c r="F71" s="189">
        <f t="shared" si="19"/>
        <v>9</v>
      </c>
      <c r="G71" s="189">
        <f t="shared" si="19"/>
        <v>49</v>
      </c>
      <c r="H71" s="194">
        <f t="shared" si="19"/>
        <v>92</v>
      </c>
      <c r="I71" s="189">
        <f t="shared" si="19"/>
        <v>725.66666666666663</v>
      </c>
      <c r="J71" s="190">
        <v>9</v>
      </c>
      <c r="K71" s="191">
        <f t="shared" si="20"/>
        <v>13.063333333333333</v>
      </c>
      <c r="L71" s="190">
        <v>6</v>
      </c>
      <c r="M71" s="188">
        <f t="shared" si="21"/>
        <v>50.186666666666667</v>
      </c>
      <c r="N71" s="190">
        <v>9</v>
      </c>
      <c r="O71" s="191">
        <f t="shared" si="22"/>
        <v>62.116666666666674</v>
      </c>
      <c r="P71" s="295">
        <v>6</v>
      </c>
      <c r="Q71" s="161">
        <f t="shared" si="23"/>
        <v>42</v>
      </c>
    </row>
    <row r="72" spans="1:17" s="83" customFormat="1" ht="12.75" x14ac:dyDescent="0.2">
      <c r="A72" s="56">
        <v>12</v>
      </c>
      <c r="B72" s="56" t="s">
        <v>215</v>
      </c>
      <c r="C72" s="47">
        <f>SUM(C24+C40+C56)/3</f>
        <v>3.61</v>
      </c>
      <c r="D72" s="189">
        <f t="shared" si="17"/>
        <v>102.65402843601898</v>
      </c>
      <c r="E72" s="49">
        <v>10</v>
      </c>
      <c r="F72" s="48">
        <f t="shared" ref="F72:I73" si="24">SUM(F24+F40+F56)/3</f>
        <v>9</v>
      </c>
      <c r="G72" s="48">
        <f t="shared" si="24"/>
        <v>48.666666666666664</v>
      </c>
      <c r="H72" s="59">
        <f t="shared" si="24"/>
        <v>93</v>
      </c>
      <c r="I72" s="48">
        <f t="shared" si="24"/>
        <v>727</v>
      </c>
      <c r="J72" s="49">
        <v>9</v>
      </c>
      <c r="K72" s="191">
        <f>SUM(K24+K40+K56)/3</f>
        <v>14.030000000000001</v>
      </c>
      <c r="L72" s="49">
        <v>6</v>
      </c>
      <c r="M72" s="47">
        <f>SUM(M24+M40+M56)/3</f>
        <v>49.383333333333333</v>
      </c>
      <c r="N72" s="49">
        <v>8</v>
      </c>
      <c r="O72" s="50">
        <f>SUM(O24+O40+O56)/3</f>
        <v>61.473333333333336</v>
      </c>
      <c r="P72" s="41">
        <v>5</v>
      </c>
      <c r="Q72" s="161">
        <f t="shared" si="10"/>
        <v>38</v>
      </c>
    </row>
    <row r="73" spans="1:17" s="83" customFormat="1" ht="12.75" x14ac:dyDescent="0.2">
      <c r="A73" s="56">
        <v>13</v>
      </c>
      <c r="B73" s="56" t="s">
        <v>217</v>
      </c>
      <c r="C73" s="47">
        <f>SUM(C25+C41+C57)/3</f>
        <v>3.8533333333333331</v>
      </c>
      <c r="D73" s="189">
        <f t="shared" si="17"/>
        <v>109.57345971563981</v>
      </c>
      <c r="E73" s="49">
        <v>12</v>
      </c>
      <c r="F73" s="48">
        <f t="shared" si="24"/>
        <v>9</v>
      </c>
      <c r="G73" s="48">
        <f t="shared" si="24"/>
        <v>51.333333333333336</v>
      </c>
      <c r="H73" s="59">
        <f t="shared" si="24"/>
        <v>94</v>
      </c>
      <c r="I73" s="48">
        <f t="shared" si="24"/>
        <v>720</v>
      </c>
      <c r="J73" s="49">
        <v>9</v>
      </c>
      <c r="K73" s="191">
        <f>SUM(K25+K41+K57)/3</f>
        <v>13.756666666666666</v>
      </c>
      <c r="L73" s="49">
        <v>6</v>
      </c>
      <c r="M73" s="47">
        <f>SUM(M25+M41+M57)/3</f>
        <v>52.936666666666667</v>
      </c>
      <c r="N73" s="49">
        <v>9</v>
      </c>
      <c r="O73" s="50">
        <f>SUM(O25+O41+O57)/3</f>
        <v>61.466666666666669</v>
      </c>
      <c r="P73" s="41">
        <v>5</v>
      </c>
      <c r="Q73" s="161">
        <f t="shared" si="10"/>
        <v>41</v>
      </c>
    </row>
    <row r="74" spans="1:17" s="83" customFormat="1" ht="12.75" x14ac:dyDescent="0.2">
      <c r="A74" s="313"/>
      <c r="B74" s="313" t="s">
        <v>487</v>
      </c>
      <c r="C74" s="314"/>
      <c r="D74" s="315"/>
      <c r="E74" s="316"/>
      <c r="F74" s="315"/>
      <c r="G74" s="315"/>
      <c r="H74" s="317"/>
      <c r="I74" s="315"/>
      <c r="J74" s="316"/>
      <c r="K74" s="318"/>
      <c r="L74" s="316"/>
      <c r="M74" s="314"/>
      <c r="N74" s="316"/>
      <c r="O74" s="318"/>
      <c r="P74" s="319"/>
      <c r="Q74" s="320"/>
    </row>
    <row r="76" spans="1:17" x14ac:dyDescent="0.25">
      <c r="B76" s="367" t="s">
        <v>104</v>
      </c>
      <c r="C76" s="367"/>
      <c r="D76" s="367"/>
      <c r="E76" s="367"/>
      <c r="F76" s="367"/>
      <c r="G76" s="367"/>
      <c r="H76" s="367"/>
    </row>
    <row r="77" spans="1:17" x14ac:dyDescent="0.25">
      <c r="B77" s="123" t="s">
        <v>454</v>
      </c>
      <c r="C77" s="363" t="s">
        <v>134</v>
      </c>
      <c r="D77" s="364"/>
      <c r="E77" s="363" t="s">
        <v>105</v>
      </c>
      <c r="F77" s="364"/>
      <c r="G77" s="357" t="s">
        <v>135</v>
      </c>
      <c r="H77" s="364"/>
    </row>
    <row r="78" spans="1:17" x14ac:dyDescent="0.25">
      <c r="B78" s="124" t="s">
        <v>106</v>
      </c>
      <c r="C78" s="368"/>
      <c r="D78" s="369"/>
      <c r="E78" s="369"/>
      <c r="F78" s="369"/>
      <c r="G78" s="369"/>
      <c r="H78" s="370"/>
    </row>
    <row r="79" spans="1:17" s="87" customFormat="1" x14ac:dyDescent="0.25">
      <c r="B79" s="124" t="s">
        <v>156</v>
      </c>
      <c r="C79" s="363" t="s">
        <v>189</v>
      </c>
      <c r="D79" s="357"/>
      <c r="E79" s="353" t="s">
        <v>620</v>
      </c>
      <c r="F79" s="353"/>
      <c r="G79" s="356" t="s">
        <v>255</v>
      </c>
      <c r="H79" s="362"/>
    </row>
    <row r="80" spans="1:17" x14ac:dyDescent="0.25">
      <c r="B80" s="124" t="s">
        <v>107</v>
      </c>
      <c r="C80" s="363">
        <v>2.2999999999999998</v>
      </c>
      <c r="D80" s="364"/>
      <c r="E80" s="404">
        <v>3.1</v>
      </c>
      <c r="F80" s="404"/>
      <c r="G80" s="356">
        <v>2</v>
      </c>
      <c r="H80" s="362"/>
    </row>
    <row r="81" spans="2:8" x14ac:dyDescent="0.25">
      <c r="B81" s="124" t="s">
        <v>108</v>
      </c>
      <c r="C81" s="363">
        <v>6.9</v>
      </c>
      <c r="D81" s="364"/>
      <c r="E81" s="361">
        <v>5.8</v>
      </c>
      <c r="F81" s="362"/>
      <c r="G81" s="361">
        <v>5.2</v>
      </c>
      <c r="H81" s="362"/>
    </row>
    <row r="82" spans="2:8" x14ac:dyDescent="0.25">
      <c r="B82" s="124" t="s">
        <v>109</v>
      </c>
      <c r="C82" s="363">
        <v>174</v>
      </c>
      <c r="D82" s="364"/>
      <c r="E82" s="389">
        <v>66</v>
      </c>
      <c r="F82" s="390"/>
      <c r="G82" s="389">
        <v>64</v>
      </c>
      <c r="H82" s="390"/>
    </row>
    <row r="83" spans="2:8" x14ac:dyDescent="0.25">
      <c r="B83" s="124" t="s">
        <v>110</v>
      </c>
      <c r="C83" s="363">
        <v>153</v>
      </c>
      <c r="D83" s="364"/>
      <c r="E83" s="389">
        <v>115</v>
      </c>
      <c r="F83" s="390"/>
      <c r="G83" s="389">
        <v>126</v>
      </c>
      <c r="H83" s="390"/>
    </row>
    <row r="84" spans="2:8" s="87" customFormat="1" x14ac:dyDescent="0.25">
      <c r="B84" s="124" t="s">
        <v>119</v>
      </c>
      <c r="C84" s="363" t="s">
        <v>233</v>
      </c>
      <c r="D84" s="357"/>
      <c r="E84" s="361" t="s">
        <v>621</v>
      </c>
      <c r="F84" s="362"/>
      <c r="G84" s="356" t="s">
        <v>256</v>
      </c>
      <c r="H84" s="362"/>
    </row>
    <row r="85" spans="2:8" x14ac:dyDescent="0.25">
      <c r="B85" s="124" t="s">
        <v>140</v>
      </c>
      <c r="C85" s="363" t="s">
        <v>150</v>
      </c>
      <c r="D85" s="357"/>
      <c r="E85" s="357"/>
      <c r="F85" s="357"/>
      <c r="G85" s="357" t="s">
        <v>137</v>
      </c>
      <c r="H85" s="364"/>
    </row>
    <row r="86" spans="2:8" s="298" customFormat="1" x14ac:dyDescent="0.25">
      <c r="B86" s="124" t="s">
        <v>680</v>
      </c>
      <c r="C86" s="363" t="s">
        <v>686</v>
      </c>
      <c r="D86" s="357"/>
      <c r="E86" s="357"/>
      <c r="F86" s="357"/>
      <c r="G86" s="357"/>
      <c r="H86" s="364"/>
    </row>
    <row r="87" spans="2:8" x14ac:dyDescent="0.25">
      <c r="B87" s="124" t="s">
        <v>111</v>
      </c>
      <c r="C87" s="353" t="s">
        <v>426</v>
      </c>
      <c r="D87" s="353"/>
      <c r="E87" s="358" t="s">
        <v>426</v>
      </c>
      <c r="F87" s="358"/>
      <c r="G87" s="358" t="s">
        <v>436</v>
      </c>
      <c r="H87" s="358"/>
    </row>
    <row r="88" spans="2:8" x14ac:dyDescent="0.25">
      <c r="B88" s="123" t="s">
        <v>112</v>
      </c>
      <c r="C88" s="363" t="s">
        <v>455</v>
      </c>
      <c r="D88" s="364"/>
      <c r="E88" s="358" t="s">
        <v>427</v>
      </c>
      <c r="F88" s="358"/>
      <c r="G88" s="358" t="s">
        <v>460</v>
      </c>
      <c r="H88" s="358"/>
    </row>
    <row r="89" spans="2:8" x14ac:dyDescent="0.25">
      <c r="B89" s="124" t="s">
        <v>113</v>
      </c>
      <c r="C89" s="359"/>
      <c r="D89" s="359"/>
      <c r="E89" s="359"/>
      <c r="F89" s="359"/>
      <c r="G89" s="359"/>
      <c r="H89" s="359"/>
    </row>
    <row r="90" spans="2:8" x14ac:dyDescent="0.25">
      <c r="B90" s="124" t="s">
        <v>114</v>
      </c>
      <c r="C90" s="125" t="s">
        <v>415</v>
      </c>
      <c r="D90" s="199" t="s">
        <v>456</v>
      </c>
      <c r="E90" s="211" t="s">
        <v>415</v>
      </c>
      <c r="F90" s="177" t="s">
        <v>429</v>
      </c>
      <c r="G90" s="211" t="s">
        <v>437</v>
      </c>
      <c r="H90" s="177" t="s">
        <v>438</v>
      </c>
    </row>
    <row r="91" spans="2:8" x14ac:dyDescent="0.25">
      <c r="B91" s="124" t="s">
        <v>138</v>
      </c>
      <c r="C91" s="124"/>
      <c r="D91" s="199" t="s">
        <v>457</v>
      </c>
      <c r="E91" s="211" t="s">
        <v>316</v>
      </c>
      <c r="F91" s="177" t="s">
        <v>274</v>
      </c>
      <c r="G91" s="211"/>
      <c r="H91" s="177" t="s">
        <v>461</v>
      </c>
    </row>
    <row r="92" spans="2:8" s="87" customFormat="1" x14ac:dyDescent="0.25">
      <c r="B92" s="124" t="s">
        <v>138</v>
      </c>
      <c r="C92" s="124"/>
      <c r="D92" s="207"/>
      <c r="E92" s="211"/>
      <c r="F92" s="177"/>
      <c r="G92" s="211"/>
      <c r="H92" s="177"/>
    </row>
    <row r="93" spans="2:8" s="87" customFormat="1" x14ac:dyDescent="0.25">
      <c r="B93" s="124"/>
      <c r="C93" s="124"/>
      <c r="D93" s="207"/>
      <c r="E93" s="211"/>
      <c r="F93" s="177"/>
      <c r="G93" s="211"/>
      <c r="H93" s="177"/>
    </row>
    <row r="94" spans="2:8" s="87" customFormat="1" x14ac:dyDescent="0.25">
      <c r="B94" s="124" t="s">
        <v>277</v>
      </c>
      <c r="C94" s="124"/>
      <c r="D94" s="207"/>
      <c r="E94" s="211"/>
      <c r="F94" s="211"/>
      <c r="G94" s="211"/>
      <c r="H94" s="177"/>
    </row>
    <row r="95" spans="2:8" s="87" customFormat="1" x14ac:dyDescent="0.25">
      <c r="B95" s="113"/>
      <c r="C95" s="124"/>
      <c r="D95" s="207"/>
      <c r="E95" s="201"/>
      <c r="F95" s="210"/>
      <c r="G95" s="211"/>
      <c r="H95" s="177"/>
    </row>
    <row r="96" spans="2:8" s="87" customFormat="1" x14ac:dyDescent="0.25">
      <c r="B96" s="124" t="s">
        <v>115</v>
      </c>
      <c r="C96" s="124"/>
      <c r="D96" s="207"/>
      <c r="E96" s="201"/>
      <c r="F96" s="210"/>
      <c r="G96" s="211"/>
      <c r="H96" s="177"/>
    </row>
    <row r="97" spans="2:8" x14ac:dyDescent="0.25">
      <c r="B97" s="124" t="s">
        <v>116</v>
      </c>
      <c r="C97" s="124" t="s">
        <v>458</v>
      </c>
      <c r="D97" s="124" t="s">
        <v>380</v>
      </c>
      <c r="E97" s="211" t="s">
        <v>396</v>
      </c>
      <c r="F97" s="211" t="s">
        <v>395</v>
      </c>
      <c r="G97" s="211" t="s">
        <v>440</v>
      </c>
      <c r="H97" s="124" t="s">
        <v>168</v>
      </c>
    </row>
    <row r="98" spans="2:8" s="87" customFormat="1" x14ac:dyDescent="0.25">
      <c r="B98" s="124"/>
      <c r="C98" s="124"/>
      <c r="D98" s="124"/>
      <c r="E98" s="211"/>
      <c r="F98" s="211" t="s">
        <v>430</v>
      </c>
      <c r="G98" s="211"/>
      <c r="H98" s="124" t="s">
        <v>160</v>
      </c>
    </row>
    <row r="99" spans="2:8" x14ac:dyDescent="0.25">
      <c r="B99" s="127"/>
      <c r="C99" s="124"/>
      <c r="D99" s="124"/>
      <c r="E99" s="211" t="s">
        <v>431</v>
      </c>
      <c r="F99" s="211" t="s">
        <v>432</v>
      </c>
      <c r="G99" s="201"/>
      <c r="H99" s="201"/>
    </row>
    <row r="100" spans="2:8" s="87" customFormat="1" x14ac:dyDescent="0.25">
      <c r="B100" s="124" t="s">
        <v>187</v>
      </c>
      <c r="C100" s="124"/>
      <c r="D100" s="124"/>
      <c r="E100" s="201"/>
      <c r="F100" s="201"/>
      <c r="G100" s="211" t="s">
        <v>443</v>
      </c>
      <c r="H100" s="211" t="s">
        <v>164</v>
      </c>
    </row>
    <row r="101" spans="2:8" s="87" customFormat="1" x14ac:dyDescent="0.25">
      <c r="B101" s="124"/>
      <c r="C101" s="124"/>
      <c r="D101" s="124"/>
      <c r="E101" s="201"/>
      <c r="F101" s="201"/>
      <c r="G101" s="201"/>
      <c r="H101" s="201"/>
    </row>
    <row r="102" spans="2:8" x14ac:dyDescent="0.25">
      <c r="B102" s="124" t="s">
        <v>123</v>
      </c>
      <c r="C102" s="124"/>
      <c r="D102" s="124"/>
      <c r="E102" s="211" t="s">
        <v>433</v>
      </c>
      <c r="F102" s="211" t="s">
        <v>434</v>
      </c>
      <c r="G102" s="211" t="s">
        <v>441</v>
      </c>
      <c r="H102" s="211" t="s">
        <v>442</v>
      </c>
    </row>
    <row r="103" spans="2:8" x14ac:dyDescent="0.25">
      <c r="B103" s="56"/>
      <c r="C103" s="56"/>
      <c r="D103" s="56"/>
      <c r="E103" s="211"/>
      <c r="F103" s="211"/>
      <c r="G103" s="211"/>
      <c r="H103" s="211"/>
    </row>
    <row r="104" spans="2:8" s="87" customFormat="1" x14ac:dyDescent="0.25">
      <c r="B104" s="56"/>
      <c r="C104" s="56"/>
      <c r="D104" s="56"/>
      <c r="E104" s="201"/>
      <c r="F104" s="201"/>
      <c r="G104" s="200"/>
      <c r="H104" s="200"/>
    </row>
    <row r="105" spans="2:8" x14ac:dyDescent="0.25">
      <c r="B105" s="124" t="s">
        <v>151</v>
      </c>
      <c r="C105" s="124"/>
      <c r="D105" s="124"/>
      <c r="E105" s="201"/>
      <c r="F105" s="201"/>
      <c r="G105" s="211" t="s">
        <v>362</v>
      </c>
      <c r="H105" s="211" t="s">
        <v>462</v>
      </c>
    </row>
    <row r="106" spans="2:8" s="87" customFormat="1" x14ac:dyDescent="0.25">
      <c r="B106" s="124"/>
      <c r="C106" s="124"/>
      <c r="D106" s="124"/>
      <c r="E106" s="201"/>
      <c r="F106" s="201"/>
      <c r="G106" s="201"/>
      <c r="H106" s="201"/>
    </row>
    <row r="107" spans="2:8" x14ac:dyDescent="0.25">
      <c r="B107" s="124" t="s">
        <v>144</v>
      </c>
      <c r="C107" s="124" t="s">
        <v>458</v>
      </c>
      <c r="D107" s="124" t="s">
        <v>319</v>
      </c>
      <c r="E107" s="211" t="s">
        <v>396</v>
      </c>
      <c r="F107" s="211" t="s">
        <v>435</v>
      </c>
      <c r="G107" s="296" t="s">
        <v>440</v>
      </c>
      <c r="H107" s="296" t="s">
        <v>463</v>
      </c>
    </row>
    <row r="108" spans="2:8" x14ac:dyDescent="0.25">
      <c r="B108" s="127"/>
      <c r="C108" s="124"/>
      <c r="D108" s="124" t="s">
        <v>459</v>
      </c>
      <c r="E108" s="211" t="s">
        <v>433</v>
      </c>
      <c r="F108" s="211" t="s">
        <v>435</v>
      </c>
      <c r="G108" s="201"/>
      <c r="H108" s="201"/>
    </row>
    <row r="109" spans="2:8" x14ac:dyDescent="0.25">
      <c r="B109" s="127"/>
      <c r="C109" s="124"/>
      <c r="D109" s="124"/>
      <c r="E109" s="201"/>
      <c r="F109" s="201"/>
      <c r="G109" s="201"/>
      <c r="H109" s="201"/>
    </row>
  </sheetData>
  <mergeCells count="41">
    <mergeCell ref="C79:D79"/>
    <mergeCell ref="E79:F79"/>
    <mergeCell ref="G79:H79"/>
    <mergeCell ref="O8:P8"/>
    <mergeCell ref="Q8:Q9"/>
    <mergeCell ref="M8:N8"/>
    <mergeCell ref="B76:H76"/>
    <mergeCell ref="C77:D77"/>
    <mergeCell ref="E77:F77"/>
    <mergeCell ref="G77:H77"/>
    <mergeCell ref="C78:H78"/>
    <mergeCell ref="A8:A9"/>
    <mergeCell ref="B8:B9"/>
    <mergeCell ref="C8:E8"/>
    <mergeCell ref="I8:J8"/>
    <mergeCell ref="K8:L8"/>
    <mergeCell ref="C80:D80"/>
    <mergeCell ref="E80:F80"/>
    <mergeCell ref="G80:H80"/>
    <mergeCell ref="C81:D81"/>
    <mergeCell ref="E81:F81"/>
    <mergeCell ref="G81:H81"/>
    <mergeCell ref="C82:D82"/>
    <mergeCell ref="E82:F82"/>
    <mergeCell ref="G82:H82"/>
    <mergeCell ref="C83:D83"/>
    <mergeCell ref="E83:F83"/>
    <mergeCell ref="G83:H83"/>
    <mergeCell ref="C84:D84"/>
    <mergeCell ref="C89:H89"/>
    <mergeCell ref="C87:D87"/>
    <mergeCell ref="E87:F87"/>
    <mergeCell ref="G87:H87"/>
    <mergeCell ref="C88:D88"/>
    <mergeCell ref="E88:F88"/>
    <mergeCell ref="G88:H88"/>
    <mergeCell ref="G84:H84"/>
    <mergeCell ref="G85:H85"/>
    <mergeCell ref="C85:F85"/>
    <mergeCell ref="E84:F84"/>
    <mergeCell ref="C86:H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15</vt:i4>
      </vt:variant>
      <vt:variant>
        <vt:lpstr>Diapazoni ar nosaukumiem</vt:lpstr>
      </vt:variant>
      <vt:variant>
        <vt:i4>2</vt:i4>
      </vt:variant>
    </vt:vector>
  </HeadingPairs>
  <TitlesOfParts>
    <vt:vector size="17" baseType="lpstr">
      <vt:lpstr>Z.Tritikale</vt:lpstr>
      <vt:lpstr>Z.mieži</vt:lpstr>
      <vt:lpstr>Rudzi</vt:lpstr>
      <vt:lpstr>Z.kvieši</vt:lpstr>
      <vt:lpstr>Z.kvieši BIO</vt:lpstr>
      <vt:lpstr>Z.rapsis</vt:lpstr>
      <vt:lpstr>Z.rapsis CL</vt:lpstr>
      <vt:lpstr>V.Kvieši</vt:lpstr>
      <vt:lpstr>V.mieži</vt:lpstr>
      <vt:lpstr>Auzas</vt:lpstr>
      <vt:lpstr>V.rapsis</vt:lpstr>
      <vt:lpstr>V.rapsis CL</vt:lpstr>
      <vt:lpstr>Soja</vt:lpstr>
      <vt:lpstr>Kartupeļi vēlīnie</vt:lpstr>
      <vt:lpstr>Eļļas kaņepes</vt:lpstr>
      <vt:lpstr>Rudzi!Drukas_apgabals</vt:lpstr>
      <vt:lpstr>Z.Tritikale!Drukas_apgabals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</dc:creator>
  <cp:lastModifiedBy>Liena Jaunzeme</cp:lastModifiedBy>
  <cp:lastPrinted>2016-11-14T06:21:27Z</cp:lastPrinted>
  <dcterms:created xsi:type="dcterms:W3CDTF">2016-10-10T11:11:21Z</dcterms:created>
  <dcterms:modified xsi:type="dcterms:W3CDTF">2021-03-12T13:54:13Z</dcterms:modified>
</cp:coreProperties>
</file>