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e.Kundzina\Documents\2018.gads\Operatīvā statistika\Aktuālā statistika pa ceturksniem\PIL\"/>
    </mc:Choice>
  </mc:AlternateContent>
  <bookViews>
    <workbookView xWindow="0" yWindow="0" windowWidth="13590" windowHeight="13500" tabRatio="864"/>
  </bookViews>
  <sheets>
    <sheet name="1)_PIL_kopsavilkums" sheetId="1" r:id="rId1"/>
    <sheet name="2)_PIL_iepirkuma_veida" sheetId="3" r:id="rId2"/>
    <sheet name="3)_PIL_pieaugums" sheetId="2" r:id="rId3"/>
    <sheet name="4)PIL_pieaugums_iepirkuma_veida" sheetId="4" r:id="rId4"/>
    <sheet name="5)_PIL_dinamika_4_cet" sheetId="8" r:id="rId5"/>
    <sheet name="6)_PIL_ES_fondi_4_cet" sheetId="9" r:id="rId6"/>
    <sheet name="7)_PIL_vide_4_cet" sheetId="10" r:id="rId7"/>
    <sheet name="8)_PIL_cet_dinamika_virs_zem" sheetId="17" r:id="rId8"/>
    <sheet name="9)PIL_din_proced_vide_ES_skaits" sheetId="18" r:id="rId9"/>
    <sheet name="10)PIL_din_proced_vide_ES_summa" sheetId="19" r:id="rId10"/>
    <sheet name="11)_PIL_centralizetie_4-cet" sheetId="14" r:id="rId11"/>
    <sheet name="12)_PIL_din_9_p" sheetId="16" r:id="rId12"/>
    <sheet name="13)_PIL_din_9_vide_ES_skaits" sheetId="20" r:id="rId13"/>
    <sheet name="14)_PIL_din_9_vide_ES_summa" sheetId="21" r:id="rId14"/>
  </sheets>
  <calcPr calcId="162913"/>
</workbook>
</file>

<file path=xl/calcChain.xml><?xml version="1.0" encoding="utf-8"?>
<calcChain xmlns="http://schemas.openxmlformats.org/spreadsheetml/2006/main">
  <c r="F6" i="14" l="1"/>
  <c r="D6" i="14"/>
  <c r="F8" i="14"/>
  <c r="D8" i="14"/>
  <c r="F7" i="14"/>
  <c r="D7" i="14"/>
  <c r="L55" i="19"/>
  <c r="K55" i="19"/>
  <c r="J55" i="19"/>
  <c r="F54" i="19" l="1"/>
  <c r="L53" i="18"/>
  <c r="K53" i="18"/>
  <c r="J53" i="18"/>
  <c r="F52" i="18"/>
  <c r="G15" i="10"/>
  <c r="D15" i="10"/>
  <c r="C25" i="10"/>
  <c r="D15" i="9" l="1"/>
  <c r="C23" i="9"/>
  <c r="N10" i="3" l="1"/>
  <c r="M10" i="3"/>
  <c r="H10" i="3"/>
  <c r="G10" i="3"/>
  <c r="K10" i="3"/>
  <c r="J10" i="3"/>
  <c r="I10" i="3"/>
  <c r="F10" i="3"/>
  <c r="E10" i="3"/>
  <c r="D11" i="3"/>
  <c r="D10" i="3"/>
  <c r="C10" i="3"/>
  <c r="N9" i="3"/>
  <c r="M9" i="3"/>
  <c r="H9" i="3"/>
  <c r="G9" i="3"/>
  <c r="L9" i="3"/>
  <c r="K9" i="3"/>
  <c r="J9" i="3"/>
  <c r="I9" i="3"/>
  <c r="F9" i="3"/>
  <c r="E9" i="3"/>
  <c r="D9" i="3"/>
  <c r="C9" i="3"/>
  <c r="L8" i="3"/>
  <c r="N8" i="3"/>
  <c r="M8" i="3"/>
  <c r="H8" i="3"/>
  <c r="G8" i="3"/>
  <c r="K8" i="3"/>
  <c r="J8" i="3"/>
  <c r="I8" i="3"/>
  <c r="F8" i="3"/>
  <c r="E8" i="3"/>
  <c r="D8" i="3"/>
  <c r="C8" i="3"/>
  <c r="M9" i="1"/>
  <c r="L9" i="1"/>
  <c r="H9" i="1"/>
  <c r="G9" i="1"/>
  <c r="M8" i="1"/>
  <c r="L8" i="1"/>
  <c r="H8" i="1"/>
  <c r="G8" i="1"/>
  <c r="M7" i="1"/>
  <c r="L7" i="1"/>
  <c r="H7" i="1"/>
  <c r="G7" i="1"/>
  <c r="K9" i="1" l="1"/>
  <c r="F9" i="1"/>
  <c r="K8" i="1"/>
  <c r="F8" i="1"/>
  <c r="K7" i="1"/>
  <c r="F7" i="1"/>
  <c r="I9" i="1"/>
  <c r="D9" i="1"/>
  <c r="D10" i="1" s="1"/>
  <c r="I8" i="1"/>
  <c r="D8" i="1"/>
  <c r="I7" i="1"/>
  <c r="D7" i="1"/>
  <c r="L56" i="21"/>
  <c r="K56" i="21"/>
  <c r="J56" i="21"/>
  <c r="F55" i="21"/>
  <c r="L56" i="20"/>
  <c r="K56" i="20"/>
  <c r="J56" i="20"/>
  <c r="F55" i="20"/>
  <c r="E25" i="10"/>
  <c r="L55" i="21" l="1"/>
  <c r="K55" i="21"/>
  <c r="J55" i="21"/>
  <c r="F54" i="21"/>
  <c r="L55" i="20"/>
  <c r="K55" i="20"/>
  <c r="J55" i="20"/>
  <c r="F54" i="20"/>
  <c r="L52" i="18"/>
  <c r="K52" i="18"/>
  <c r="J52" i="18"/>
  <c r="F51" i="18"/>
  <c r="G16" i="9"/>
  <c r="K54" i="19" l="1"/>
  <c r="J54" i="19"/>
  <c r="F53" i="19"/>
  <c r="L54" i="19" s="1"/>
  <c r="I7" i="2"/>
  <c r="J10" i="1"/>
  <c r="F10" i="1" l="1"/>
  <c r="E7" i="2" s="1"/>
  <c r="I10" i="1" l="1"/>
  <c r="H7" i="2" s="1"/>
  <c r="C7" i="2"/>
  <c r="L54" i="21"/>
  <c r="K54" i="21"/>
  <c r="J54" i="21"/>
  <c r="F53" i="21"/>
  <c r="L53" i="19"/>
  <c r="K53" i="19"/>
  <c r="J53" i="19"/>
  <c r="F52" i="19"/>
  <c r="L51" i="18"/>
  <c r="K51" i="18"/>
  <c r="J51" i="18"/>
  <c r="F50" i="18"/>
  <c r="L54" i="20" l="1"/>
  <c r="K54" i="20"/>
  <c r="J54" i="20"/>
  <c r="F53" i="20"/>
  <c r="P10" i="1" l="1"/>
  <c r="O7" i="2" s="1"/>
  <c r="O10" i="1"/>
  <c r="N7" i="2" s="1"/>
  <c r="K52" i="19" l="1"/>
  <c r="J52" i="19"/>
  <c r="F51" i="19"/>
  <c r="L52" i="19" s="1"/>
  <c r="K50" i="18"/>
  <c r="J50" i="18"/>
  <c r="F49" i="18"/>
  <c r="L50" i="18" s="1"/>
  <c r="H15" i="10"/>
  <c r="H14" i="10"/>
  <c r="E15" i="10"/>
  <c r="E14" i="10"/>
  <c r="H15" i="9"/>
  <c r="H14" i="9"/>
  <c r="E15" i="9"/>
  <c r="E14" i="9"/>
  <c r="E10" i="1"/>
  <c r="D7" i="2" s="1"/>
  <c r="K10" i="1"/>
  <c r="J7" i="2" s="1"/>
  <c r="L53" i="21"/>
  <c r="K53" i="21"/>
  <c r="J53" i="21"/>
  <c r="F52" i="21"/>
  <c r="L53" i="20"/>
  <c r="K53" i="20"/>
  <c r="J53" i="20"/>
  <c r="F52" i="20"/>
  <c r="H25" i="10"/>
  <c r="H24" i="10"/>
  <c r="E24" i="10"/>
  <c r="H23" i="9"/>
  <c r="H22" i="9"/>
  <c r="E23" i="9"/>
  <c r="E22" i="9"/>
  <c r="L52" i="21" l="1"/>
  <c r="K52" i="21"/>
  <c r="J52" i="21"/>
  <c r="F51" i="21"/>
  <c r="L52" i="20"/>
  <c r="K52" i="20"/>
  <c r="J52" i="20"/>
  <c r="F51" i="20"/>
  <c r="L51" i="19"/>
  <c r="K51" i="19"/>
  <c r="J51" i="19"/>
  <c r="F50" i="19"/>
  <c r="L49" i="18"/>
  <c r="K49" i="18"/>
  <c r="J49" i="18"/>
  <c r="F48" i="18"/>
  <c r="L51" i="21" l="1"/>
  <c r="K51" i="21"/>
  <c r="J51" i="21"/>
  <c r="F50" i="21"/>
  <c r="L51" i="20"/>
  <c r="K51" i="20"/>
  <c r="J51" i="20"/>
  <c r="F50" i="20"/>
  <c r="L50" i="19"/>
  <c r="K50" i="19"/>
  <c r="J50" i="19"/>
  <c r="F49" i="19"/>
  <c r="L48" i="18"/>
  <c r="K48" i="18"/>
  <c r="J48" i="18"/>
  <c r="F47" i="18"/>
  <c r="K50" i="21" l="1"/>
  <c r="J50" i="21"/>
  <c r="F49" i="21"/>
  <c r="L50" i="21" s="1"/>
  <c r="K50" i="20"/>
  <c r="J50" i="20"/>
  <c r="F49" i="20"/>
  <c r="L50" i="20" s="1"/>
  <c r="K49" i="19"/>
  <c r="J49" i="19"/>
  <c r="F48" i="19"/>
  <c r="L49" i="19" s="1"/>
  <c r="K47" i="18"/>
  <c r="J47" i="18"/>
  <c r="F46" i="18"/>
  <c r="L47" i="18" s="1"/>
  <c r="L49" i="21" l="1"/>
  <c r="K49" i="21"/>
  <c r="J49" i="21"/>
  <c r="F48" i="21"/>
  <c r="L49" i="20"/>
  <c r="K49" i="20"/>
  <c r="J49" i="20"/>
  <c r="F48" i="20"/>
  <c r="L48" i="19"/>
  <c r="K48" i="19"/>
  <c r="J48" i="19"/>
  <c r="F47" i="19"/>
  <c r="K46" i="18"/>
  <c r="J46" i="18"/>
  <c r="F45" i="18"/>
  <c r="L46" i="18" s="1"/>
  <c r="L11" i="3"/>
  <c r="L7" i="4" s="1"/>
  <c r="L47" i="19" l="1"/>
  <c r="K47" i="19"/>
  <c r="J47" i="19"/>
  <c r="F46" i="19"/>
  <c r="K45" i="18"/>
  <c r="J45" i="18"/>
  <c r="F44" i="18"/>
  <c r="L45" i="18" s="1"/>
  <c r="L48" i="21"/>
  <c r="K48" i="21"/>
  <c r="J48" i="21"/>
  <c r="F47" i="21"/>
  <c r="L48" i="20"/>
  <c r="K48" i="20"/>
  <c r="J48" i="20"/>
  <c r="F47" i="20"/>
  <c r="K47" i="21" l="1"/>
  <c r="J47" i="21"/>
  <c r="K46" i="21"/>
  <c r="J46" i="21"/>
  <c r="F46" i="21"/>
  <c r="L47" i="21" s="1"/>
  <c r="K45" i="21"/>
  <c r="J45" i="21"/>
  <c r="F45" i="21"/>
  <c r="L46" i="21" s="1"/>
  <c r="K44" i="21"/>
  <c r="J44" i="21"/>
  <c r="F44" i="21"/>
  <c r="L45" i="21" s="1"/>
  <c r="K43" i="21"/>
  <c r="J43" i="21"/>
  <c r="F43" i="21"/>
  <c r="L44" i="21" s="1"/>
  <c r="K42" i="21"/>
  <c r="J42" i="21"/>
  <c r="F42" i="21"/>
  <c r="L43" i="21" s="1"/>
  <c r="K41" i="21"/>
  <c r="J41" i="21"/>
  <c r="F41" i="21"/>
  <c r="L42" i="21" s="1"/>
  <c r="F40" i="21"/>
  <c r="L41" i="21" s="1"/>
  <c r="K47" i="20"/>
  <c r="J47" i="20"/>
  <c r="K46" i="20"/>
  <c r="J46" i="20"/>
  <c r="F46" i="20"/>
  <c r="L47" i="20" s="1"/>
  <c r="K45" i="20"/>
  <c r="J45" i="20"/>
  <c r="F45" i="20"/>
  <c r="L46" i="20" s="1"/>
  <c r="K44" i="20"/>
  <c r="J44" i="20"/>
  <c r="F44" i="20"/>
  <c r="L45" i="20" s="1"/>
  <c r="K43" i="20"/>
  <c r="J43" i="20"/>
  <c r="F43" i="20"/>
  <c r="L44" i="20" s="1"/>
  <c r="K42" i="20"/>
  <c r="J42" i="20"/>
  <c r="F42" i="20"/>
  <c r="L43" i="20" s="1"/>
  <c r="K41" i="20"/>
  <c r="J41" i="20"/>
  <c r="F41" i="20"/>
  <c r="L42" i="20" s="1"/>
  <c r="F40" i="20"/>
  <c r="L41" i="20" s="1"/>
  <c r="K46" i="19" l="1"/>
  <c r="J46" i="19"/>
  <c r="K45" i="19"/>
  <c r="J45" i="19"/>
  <c r="F45" i="19"/>
  <c r="L46" i="19" s="1"/>
  <c r="K44" i="19"/>
  <c r="J44" i="19"/>
  <c r="F44" i="19"/>
  <c r="L45" i="19" s="1"/>
  <c r="K43" i="19"/>
  <c r="J43" i="19"/>
  <c r="F43" i="19"/>
  <c r="L44" i="19" s="1"/>
  <c r="K42" i="19"/>
  <c r="J42" i="19"/>
  <c r="F42" i="19"/>
  <c r="L43" i="19" s="1"/>
  <c r="K41" i="19"/>
  <c r="J41" i="19"/>
  <c r="F41" i="19"/>
  <c r="L42" i="19" s="1"/>
  <c r="K40" i="19"/>
  <c r="J40" i="19"/>
  <c r="F40" i="19"/>
  <c r="L41" i="19" s="1"/>
  <c r="F39" i="19"/>
  <c r="L40" i="19" s="1"/>
  <c r="K44" i="18" l="1"/>
  <c r="J44" i="18"/>
  <c r="K43" i="18"/>
  <c r="J43" i="18"/>
  <c r="K42" i="18"/>
  <c r="J42" i="18"/>
  <c r="K41" i="18"/>
  <c r="J41" i="18"/>
  <c r="K40" i="18"/>
  <c r="J40" i="18"/>
  <c r="K39" i="18"/>
  <c r="J39" i="18"/>
  <c r="K38" i="18"/>
  <c r="J38" i="18"/>
  <c r="F38" i="18"/>
  <c r="L39" i="18" s="1"/>
  <c r="F39" i="18"/>
  <c r="L40" i="18" s="1"/>
  <c r="F40" i="18"/>
  <c r="L41" i="18" s="1"/>
  <c r="F41" i="18"/>
  <c r="L42" i="18" s="1"/>
  <c r="F42" i="18"/>
  <c r="L43" i="18" s="1"/>
  <c r="F43" i="18"/>
  <c r="L44" i="18" s="1"/>
  <c r="F37" i="18"/>
  <c r="L38" i="18" s="1"/>
  <c r="G19" i="14" l="1"/>
  <c r="F19" i="14"/>
  <c r="E19" i="14"/>
  <c r="D19" i="14"/>
  <c r="F11" i="14"/>
  <c r="G10" i="14" s="1"/>
  <c r="D11" i="14"/>
  <c r="G6" i="14" l="1"/>
  <c r="E10" i="14"/>
  <c r="E6" i="14"/>
  <c r="G24" i="9" l="1"/>
  <c r="F24" i="9"/>
  <c r="D24" i="9"/>
  <c r="C24" i="9"/>
  <c r="G26" i="10"/>
  <c r="F26" i="10"/>
  <c r="D26" i="10"/>
  <c r="C26" i="10"/>
  <c r="G16" i="10"/>
  <c r="F16" i="10"/>
  <c r="D16" i="10"/>
  <c r="C16" i="10"/>
  <c r="F16" i="9"/>
  <c r="D16" i="9"/>
  <c r="C16" i="9"/>
  <c r="J26" i="3"/>
  <c r="J20" i="4" s="1"/>
  <c r="I26" i="3"/>
  <c r="I20" i="4" s="1"/>
  <c r="H26" i="3"/>
  <c r="H20" i="4" s="1"/>
  <c r="G26" i="3"/>
  <c r="G20" i="4" s="1"/>
  <c r="F26" i="3"/>
  <c r="F20" i="4" s="1"/>
  <c r="E26" i="3"/>
  <c r="E20" i="4" s="1"/>
  <c r="N11" i="3"/>
  <c r="M11" i="3"/>
  <c r="L8" i="4"/>
  <c r="K11" i="3"/>
  <c r="J11" i="3"/>
  <c r="I11" i="3"/>
  <c r="H11" i="3"/>
  <c r="G11" i="3"/>
  <c r="F11" i="3"/>
  <c r="E11" i="3"/>
  <c r="C11" i="3"/>
  <c r="O8" i="2"/>
  <c r="N8" i="2"/>
  <c r="N10" i="1"/>
  <c r="M10" i="1"/>
  <c r="L10" i="1"/>
  <c r="I8" i="2"/>
  <c r="H8" i="2"/>
  <c r="H10" i="1"/>
  <c r="G10" i="1"/>
  <c r="D8" i="2"/>
  <c r="C8" i="2"/>
  <c r="C7" i="4" l="1"/>
  <c r="C8" i="4" s="1"/>
  <c r="G7" i="4"/>
  <c r="G8" i="4" s="1"/>
  <c r="D7" i="4"/>
  <c r="D8" i="4" s="1"/>
  <c r="H7" i="4"/>
  <c r="H8" i="4" s="1"/>
  <c r="M7" i="4"/>
  <c r="M8" i="4" s="1"/>
  <c r="E7" i="4"/>
  <c r="E8" i="4" s="1"/>
  <c r="I7" i="4"/>
  <c r="I8" i="4" s="1"/>
  <c r="F7" i="4"/>
  <c r="F8" i="4" s="1"/>
  <c r="J7" i="4"/>
  <c r="J8" i="4" s="1"/>
  <c r="N7" i="4"/>
  <c r="N8" i="4" s="1"/>
  <c r="K7" i="4"/>
  <c r="K8" i="4" s="1"/>
  <c r="F7" i="2"/>
  <c r="F8" i="2" s="1"/>
  <c r="K7" i="2"/>
  <c r="K8" i="2" s="1"/>
  <c r="M7" i="2"/>
  <c r="M8" i="2" s="1"/>
  <c r="G7" i="2"/>
  <c r="G8" i="2" s="1"/>
  <c r="L7" i="2"/>
  <c r="L8" i="2" s="1"/>
  <c r="F21" i="4"/>
  <c r="G21" i="4"/>
  <c r="H21" i="4"/>
  <c r="E21" i="4"/>
  <c r="J21" i="4"/>
  <c r="I21" i="4"/>
</calcChain>
</file>

<file path=xl/sharedStrings.xml><?xml version="1.0" encoding="utf-8"?>
<sst xmlns="http://schemas.openxmlformats.org/spreadsheetml/2006/main" count="452" uniqueCount="136">
  <si>
    <t>Virs ES līgumcenu sliekšņa</t>
  </si>
  <si>
    <t>Zem ES līgumcenu sliekšņa</t>
  </si>
  <si>
    <t>Izsludināto iepirkumu skaits*</t>
  </si>
  <si>
    <t>Rezultātu paziņojumu skaits**</t>
  </si>
  <si>
    <t>Kopā</t>
  </si>
  <si>
    <t/>
  </si>
  <si>
    <t>Būvdarbi</t>
  </si>
  <si>
    <t>Preču piegāde</t>
  </si>
  <si>
    <t>Pakalpojumi</t>
  </si>
  <si>
    <t>Rezultātos norādītā līgumcena (EUR bez PVN)</t>
  </si>
  <si>
    <t xml:space="preserve">  </t>
  </si>
  <si>
    <t>Īpatsvars (%) attiecībā pret kopējo paziņojumu skaitu</t>
  </si>
  <si>
    <t>Rezultātos norādītā kopējā līgumcena (EUR bez PVN)</t>
  </si>
  <si>
    <t>Īpatsvars (%) attiecībā pret kopējo rezultātos norādīto līgumcenu</t>
  </si>
  <si>
    <t>Kopējais rezultātu paziņojumu skaits*</t>
  </si>
  <si>
    <t>Tai skaitā ar ES fondiem saistīto rezultātu paziņojumu skaits **</t>
  </si>
  <si>
    <t>Tai skaitā rezultātos norādītā līgumcena (EUR bez PVN), kas saistīta ar ES fondiem</t>
  </si>
  <si>
    <t>**Ar ES fondiem saistīto „Rezultātu paziņojumu skaits”- norādītais skaits veidojas no atzīmes paziņojumā, ka līgumi ir saistīti ar projektu un/vai programmu, ko finansē Eiropas Savienības fondi</t>
  </si>
  <si>
    <t>* „Kopējais rezultātu paziņojumu skaits”- norādītais skaits veidojas no iepirkumiem, kuri IUB izsludināti, izmantojot šāda veida veidlapas: Informatīvs paziņojums par noslēgto līgumu.</t>
  </si>
  <si>
    <t>Tai skaitā ar ES fondiem saistīto rezultātu paziņojumu skaits**</t>
  </si>
  <si>
    <t>Tai skaitā ar vides prasībām saistīto paziņojumu skaits **</t>
  </si>
  <si>
    <t>Tai skaitā rezultātos norādītā līgumcena (EUR bez PVN), kas saistīta ar vides prasībām</t>
  </si>
  <si>
    <t>** „Ar vides prasībām saistīto paziņojumu skaits”- norādītais skaits veidojas no atzīmes paziņojumā, ka iepirkuma dokumentos ir iekļautas vides aizsardzības prasības</t>
  </si>
  <si>
    <t>* „Kopējais rezultātu paziņojumu skaits”- norādītais skaits veidojas no iepirkumiem, kuri IUB izsludināti, izmantojot šāda veida veidlapas: Informatīvs paziņojums par noslēgto līgumu;</t>
  </si>
  <si>
    <t>virs ES līgumcenu sliekšņa</t>
  </si>
  <si>
    <t>zem ES līgumcenu sliekšņa</t>
  </si>
  <si>
    <t>Centralizēti veiktie iepirkumi kopā</t>
  </si>
  <si>
    <t>Iepirkumi viena pasūtītāja vajadzībām</t>
  </si>
  <si>
    <t>Pavisam kopā</t>
  </si>
  <si>
    <t>Centralizēti  veiktie iepirkumi</t>
  </si>
  <si>
    <t>Rezultātu paziņojumu skaits</t>
  </si>
  <si>
    <t>Izsludināto iepirkumu skaits</t>
  </si>
  <si>
    <t>virs ES sliekšņa</t>
  </si>
  <si>
    <t>zem ES sliekšņa</t>
  </si>
  <si>
    <t>Apjoms (milj.eiro)</t>
  </si>
  <si>
    <t>2014/I</t>
  </si>
  <si>
    <t>2014/II</t>
  </si>
  <si>
    <t>2014/III</t>
  </si>
  <si>
    <t>2014/IV</t>
  </si>
  <si>
    <t>2015/I</t>
  </si>
  <si>
    <t>2015/II</t>
  </si>
  <si>
    <t>2015/III</t>
  </si>
  <si>
    <t>Rezultātu paziņojumu skaits iepirkumiem virs ES līgumcenu sliekšņa</t>
  </si>
  <si>
    <t>Rezultātos norādītā līgumcena virs ES sliekšņa iepirkumiem (milj.eiro)</t>
  </si>
  <si>
    <t>Rezultātu paziņojumu skaits iepirkumiem zem ES līgumcenu sliekšņa</t>
  </si>
  <si>
    <t>Rezultātos norādītā līgumcena zem ES sliekšņa iepirkumiem (milj.eiro)</t>
  </si>
  <si>
    <t>Publisko iepirkumu likuma kārtībā publicēto rezultātu paziņojumu skaita un publikācijās norādītās līgumcenas virs un zem ES līgumcenu robežas dinamika</t>
  </si>
  <si>
    <t>Kopējais rezultātu paziņojumu skaits</t>
  </si>
  <si>
    <t>Rezultātu paziņojumu (ar vides prasībām) skaits</t>
  </si>
  <si>
    <t xml:space="preserve">Rezultātu paziņojumu skaits (ar ES fondu norādi) </t>
  </si>
  <si>
    <t>Vides prasības</t>
  </si>
  <si>
    <t>ES fondu līdzfinansējums</t>
  </si>
  <si>
    <t>Publisko iepirkumu likuma kārtībā publicēto rezultātu paziņojumu skaita, vides prasību un ES fondu līdzfinansējumu attiecību dinamika (%)</t>
  </si>
  <si>
    <t>Publisko iepirkumu likuma kārtībā publikācijās norādīto līgumcenu, vides prasību un ES fondu līdzfinansējumu attiecību dinamika (%)</t>
  </si>
  <si>
    <t>Pārējie</t>
  </si>
  <si>
    <t>Attēlā norādītā informācija iegūta no iepirkumu publikāciju veidlapām: „Informatīvs paziņojums par noslēgto līgumu”</t>
  </si>
  <si>
    <t>Attēlā norādītais procentu lielums aprēķināts no kopējās līgumcenas (EUR) bez PVN, kura iegūta no iepirkumu publikāciju veidlapas: „Informatīvs paziņojums par noslēgto līgumu”</t>
  </si>
  <si>
    <t>Attēlā norādītais procentu lielums aprēķināts no kopējā publikāciju skaita, kas iegūts no iepirkumu publikāciju veidlapas: „Informatīvs paziņojums par noslēgto līgumu”</t>
  </si>
  <si>
    <t>2015/IV</t>
  </si>
  <si>
    <t xml:space="preserve">2015/IV </t>
  </si>
  <si>
    <t>2016/I</t>
  </si>
  <si>
    <t>2016/II</t>
  </si>
  <si>
    <t>2016/III</t>
  </si>
  <si>
    <t>Starpība</t>
  </si>
  <si>
    <t>Rezultātu paziņojumu (ar vides prasībām) norādītā līgumcena (milj.EUR)</t>
  </si>
  <si>
    <t>Rezultātu paziņojumos (ar ES fondu norādi) norādītā līgumcena (milj.EUR)</t>
  </si>
  <si>
    <t>Rezultātu paziņojumos (ar vides prasībām) norādītā līgumcena (milj.EUR)</t>
  </si>
  <si>
    <t>Kopējā rezultātos norādītā līgumcena (milj.EUR)</t>
  </si>
  <si>
    <t>Kopējā rezultātu paziņojumos norādītā līgumcena (milj.EUR)</t>
  </si>
  <si>
    <t>2016/IV</t>
  </si>
  <si>
    <t>2017/I</t>
  </si>
  <si>
    <r>
      <t>8.</t>
    </r>
    <r>
      <rPr>
        <b/>
        <sz val="11"/>
        <color indexed="8"/>
        <rFont val="Calibri"/>
        <family val="2"/>
        <charset val="186"/>
      </rPr>
      <t>²</t>
    </r>
    <r>
      <rPr>
        <b/>
        <sz val="11"/>
        <color indexed="8"/>
        <rFont val="Times New Roman"/>
        <family val="1"/>
        <charset val="186"/>
      </rPr>
      <t xml:space="preserve"> un 9.panta kārtībā</t>
    </r>
  </si>
  <si>
    <t>Paziņojumi “Zem ES līgumcenu sliekšņa” - iepirkumi ar paredzamo līgumcenu precēm un pakalpojumiem no  42 000 līdz 134 999 euro,  un būvdarbiem ar paredzamo līgumcenu no 170 000 līdz 5 224 999 euro; 2.pielikuma pakalpojumiem - no 42 000 līdz 749 999 euro;</t>
  </si>
  <si>
    <r>
      <t>Paziņojumi “</t>
    </r>
    <r>
      <rPr>
        <i/>
        <sz val="11"/>
        <rFont val="Times New Roman"/>
        <family val="1"/>
        <charset val="186"/>
      </rPr>
      <t>Virs ES līgumcenu sliekšņa</t>
    </r>
    <r>
      <rPr>
        <sz val="11"/>
        <rFont val="Times New Roman"/>
        <family val="1"/>
        <charset val="186"/>
      </rPr>
      <t>” - paziņojumi ar paredzamo līgumcenu  precēm un pakalpojumiem no 135 000 euro, un būvdarbiem no 5 225 000 euro; 2.pielikuma pakalpojumiem - no 750 000 euro;</t>
    </r>
  </si>
  <si>
    <t>Iepriekšējo informatīvo paziņojumu un paziņojumu par sociālajiem un citiem īpašiem pakalpojumiem - iepriekšējo informatīvo paziņojumu skaits</t>
  </si>
  <si>
    <r>
      <t>Paziņojumi “</t>
    </r>
    <r>
      <rPr>
        <i/>
        <sz val="11"/>
        <rFont val="Times New Roman"/>
        <family val="1"/>
        <charset val="186"/>
      </rPr>
      <t>Virs ES līgumcenu sliekšņa</t>
    </r>
    <r>
      <rPr>
        <sz val="11"/>
        <rFont val="Times New Roman"/>
        <family val="1"/>
        <charset val="186"/>
      </rPr>
      <t>” - paziņojumi ar paredzamo līgumcenu  precēm un pakalpojumiem no 135 000 euro, un būvdarbiem no 5 225 000 euro; 2.pielikuma pakalpojumiem - no 750 000 euro.</t>
    </r>
  </si>
  <si>
    <r>
      <t>** “</t>
    </r>
    <r>
      <rPr>
        <u/>
        <sz val="11"/>
        <rFont val="Times New Roman"/>
        <family val="1"/>
        <charset val="186"/>
      </rPr>
      <t>Rezultātu paziņojumu skaits” -</t>
    </r>
    <r>
      <rPr>
        <sz val="11"/>
        <rFont val="Times New Roman"/>
        <family val="1"/>
        <charset val="186"/>
      </rPr>
      <t xml:space="preserve"> norādītais skaits veidojas no iepirkumiem, kuri IUB izsludināti, izmantojot šāda veida veidlapas: </t>
    </r>
    <r>
      <rPr>
        <sz val="11"/>
        <color indexed="8"/>
        <rFont val="Times New Roman"/>
        <family val="1"/>
        <charset val="186"/>
      </rPr>
      <t>Informatīvs paziņojums par noslēgto līgumu.</t>
    </r>
  </si>
  <si>
    <r>
      <t>** “</t>
    </r>
    <r>
      <rPr>
        <u/>
        <sz val="11"/>
        <rFont val="Times New Roman"/>
        <family val="1"/>
        <charset val="186"/>
      </rPr>
      <t>Rezultātu paziņojumu skaits”-</t>
    </r>
    <r>
      <rPr>
        <sz val="11"/>
        <rFont val="Times New Roman"/>
        <family val="1"/>
        <charset val="186"/>
      </rPr>
      <t xml:space="preserve"> norādītais skaits veidojas no iepirkumiem, kuri IUB izsludināti, izmantojot šāda veida veidlapas: </t>
    </r>
    <r>
      <rPr>
        <sz val="11"/>
        <color indexed="8"/>
        <rFont val="Times New Roman"/>
        <family val="1"/>
        <charset val="186"/>
      </rPr>
      <t>Informatīvs paziņojums par noslēgto līgumu.</t>
    </r>
  </si>
  <si>
    <r>
      <t xml:space="preserve">* </t>
    </r>
    <r>
      <rPr>
        <u/>
        <sz val="9"/>
        <color indexed="8"/>
        <rFont val="Calibri"/>
        <family val="2"/>
        <charset val="186"/>
      </rPr>
      <t>"Izsludināto iepirkumu skaits"-</t>
    </r>
    <r>
      <rPr>
        <sz val="9"/>
        <color indexed="8"/>
        <rFont val="Calibri"/>
        <family val="2"/>
        <charset val="186"/>
      </rPr>
      <t xml:space="preserve"> norādītais skaitlis veidojas no iepirkumiem, kuri IUB izsludināti, izmantojot šāda veida publikāciju veidlapas: Iepriekšējais informatīvais paziņojums, Paziņojums par līgumu, Paziņojums par metu konkursu, Paziņojums par plānoto līgumu, Paziņojums par sociālajiem un citiem īpašiem pakalpojumiem - paziņojums par līgumu.</t>
    </r>
  </si>
  <si>
    <t>Paziņojumi "Zem ES līgumcenu sliekšņa" - iepirkumi ar paredzamo līgumcenu precēm un pakalpojumiem no 42 000 līdz 134 999,99 euro, un būvdarbiem ar paredzamo līgumcenu no 170 000 līdz 5 224 999,99 euro; 2.pielikuma pakalpojumiem - no 42 000 līdz 749 999 euro;</t>
  </si>
  <si>
    <t>Paziņojumi "Virs ES līgumcenu sliekšņa" - paziņojumi ar paredzamo līgumcenu precēm un pakalpojumiem no 135 000 euro, un būvdarbiem no 5 225 000 euro; 2.pielikuma pakalpojumiem - no 750 000 euro.</t>
  </si>
  <si>
    <t>* „Kopējais rezultātu paziņojumu skaits”- norādītais skaits veidojas no iepirkumiem, kuri IUB izsludināti, izmantojot šāda veida veidlapas: Paziņojums par iepirkuma procedūras rezultātiem, Paziņojums par metu konkursa rezultātiem, Paziņojums par līguma slēgšanas tiesību piešķiršanu, Paziņojums apr sociālajiem un citiem īpašiem pakalpojumiem - paziņojums par līguma slēgšanas tiesību piešķiršanu.</t>
  </si>
  <si>
    <t>* „Kopējais rezultātu paziņojumu skaits”- norādītais skaits veidojas no iepirkumiem, kuri IUB izsludināti, izmantojot šāda veida veidlapas: Paziņojums par iepirkuma procedūras rezultātiem, Paziņojums par metu konkursa rezultātiem, Paziņojums par līguma slēgšanas tiesību piešķiršanu, Paziņojums par sociālajiem un citiem īpašiem pakalpojumiem - paziņojums par līguma slēgšanas tiesību piešķiršanu.</t>
  </si>
  <si>
    <t>Attēlā norādītā informācija iegūta no iepirkumu publikāciju veidlapām: Paziņojums par iepirkuma procedūras rezultātiem, Paziņojums par metu konkursa rezultātiem, Paziņojums par līguma slēgšanas tiesību piešķiršanu, Paziņojums par sociālajiem un citiem īpašiem pakalpojumiem - paziņojums par līguma slēgšanas tiesību piešķiršanu.</t>
  </si>
  <si>
    <t>Attēlā norādītais procentu lielums aprēķināts no kopējā publikāciju skaita, kas iegūts no iepirkumu publikāciju veidlapām: Paziņojums par iepirkuma procedūras rezultātiem, Paziņojums par līguma slēgšanas tiesību piešķiršanu, Paziņojums par sociālajiem un citiem īpašiem pakalpojumiem - paziņojums par līguma slēgšanas tiesību piešķiršanu.</t>
  </si>
  <si>
    <t>Attēlā norādītais procentu lielums aprēķināts no kopējās līgumcenas (EUR) bez PVN, kura iegūta no iepirkumu publikāciju veidlapām: Paziņojums par iepirkuma procedūras rezultātiem, Paziņojums par līguma slēgšanas tiesību piešķiršanu, Paziņojums par līguma slēgšanas tiesību piešķiršanu - paziņojums par līguma slēgšanas tiesību piešķiršanu.</t>
  </si>
  <si>
    <r>
      <t xml:space="preserve"> “</t>
    </r>
    <r>
      <rPr>
        <u/>
        <sz val="11"/>
        <rFont val="Times New Roman"/>
        <family val="1"/>
        <charset val="186"/>
      </rPr>
      <t>Rezultātu paziņojumu skaits”-</t>
    </r>
    <r>
      <rPr>
        <sz val="11"/>
        <rFont val="Times New Roman"/>
        <family val="1"/>
        <charset val="186"/>
      </rPr>
      <t xml:space="preserve"> norādītais skaits veidojas no iepirkumiem, kuri IUB izsludināti, izmantojot šāda veida veidlapas: </t>
    </r>
    <r>
      <rPr>
        <sz val="11"/>
        <color indexed="8"/>
        <rFont val="Times New Roman"/>
        <family val="1"/>
        <charset val="186"/>
      </rPr>
      <t>Paziņojums par iepirkuma procedūras rezultātiem, Paziņojums par metu konkursa rezultātiem, Informatīvs paziņojums par noslēgto līgumu, Paziņojums par līguma slēgšanas tiesību piešķiršanu, Paziņojums par sociālajiem un citiem īpašiem pakalpojumiem - paziņojums par līguma slēgšanas tiesību piešķiršanu.</t>
    </r>
  </si>
  <si>
    <t>Paziņojumi “Zem ES līgumcenu sliekšņa” - iepirkumi ar paredzamo līgumcenu precēm un pakalpojumiem no  42 000 līdz 134 999,99 euro,  un būvdarbiem ar paredzamo līgumcenu no 170 000 līdz 5 224 999,99 euro; 2.pielikuma pakalpojumiem - no 42 000 līdz 749 999 euro;</t>
  </si>
  <si>
    <r>
      <rPr>
        <b/>
        <sz val="11"/>
        <color indexed="8"/>
        <rFont val="Calibri"/>
        <family val="2"/>
        <charset val="186"/>
      </rPr>
      <t xml:space="preserve"> 9.</t>
    </r>
    <r>
      <rPr>
        <b/>
        <sz val="11"/>
        <color indexed="8"/>
        <rFont val="Times New Roman"/>
        <family val="1"/>
        <charset val="186"/>
      </rPr>
      <t xml:space="preserve"> panta kārtībā</t>
    </r>
  </si>
  <si>
    <t xml:space="preserve"> 9.panta kārtībā</t>
  </si>
  <si>
    <t>2017/II</t>
  </si>
  <si>
    <r>
      <rPr>
        <sz val="10.5"/>
        <rFont val="Calibri"/>
        <family val="2"/>
        <charset val="186"/>
      </rPr>
      <t>9.</t>
    </r>
    <r>
      <rPr>
        <i/>
        <sz val="10.5"/>
        <rFont val="Times New Roman"/>
        <family val="1"/>
        <charset val="186"/>
      </rPr>
      <t xml:space="preserve"> panta kārtībā</t>
    </r>
  </si>
  <si>
    <r>
      <t>“</t>
    </r>
    <r>
      <rPr>
        <i/>
        <sz val="11"/>
        <color indexed="8"/>
        <rFont val="Times New Roman"/>
        <family val="1"/>
        <charset val="186"/>
      </rPr>
      <t xml:space="preserve">9.panta kārtībā” - </t>
    </r>
    <r>
      <rPr>
        <sz val="11"/>
        <color indexed="8"/>
        <rFont val="Times New Roman"/>
        <family val="1"/>
        <charset val="186"/>
      </rPr>
      <t>iepirkumi, kuru piegādes vai pakalpojumu līgumu paredzamā līgumcena ir no 10 000 līdz 41 999 euro, un būvdarbu iepirkumi ar paredzamo līgumcenu no 20 000 euro līdz 169 999  euro.</t>
    </r>
  </si>
  <si>
    <r>
      <t>“</t>
    </r>
    <r>
      <rPr>
        <i/>
        <sz val="11"/>
        <color indexed="8"/>
        <rFont val="Times New Roman"/>
        <family val="1"/>
        <charset val="186"/>
      </rPr>
      <t xml:space="preserve">9.panta kārtībā”- </t>
    </r>
    <r>
      <rPr>
        <sz val="11"/>
        <color indexed="8"/>
        <rFont val="Times New Roman"/>
        <family val="1"/>
        <charset val="186"/>
      </rPr>
      <t>iepirkumi, kuru piegādes vai pakalpojumu līgumu paredzamā līgumcena ir no 10 000 līdz 41 999 euro, un būvdarbu iepirkumi ar paredzamo līgumcenu no 20 000 euro līdz 169 999  euro.</t>
    </r>
  </si>
  <si>
    <t>Paziņojums par izmaiņām vai papildu informāciju skaits</t>
  </si>
  <si>
    <r>
      <t xml:space="preserve">* </t>
    </r>
    <r>
      <rPr>
        <u/>
        <sz val="11"/>
        <rFont val="Times New Roman"/>
        <family val="1"/>
        <charset val="186"/>
      </rPr>
      <t>“Izsludināto iepirkumu skaits”-</t>
    </r>
    <r>
      <rPr>
        <sz val="11"/>
        <rFont val="Times New Roman"/>
        <family val="1"/>
        <charset val="186"/>
      </rPr>
      <t xml:space="preserve"> norādītais skaitlis veidojas no iepirkumiem, kuri IUB izsludināti, izmantojot šāda veida publikāciju veidlapas: Paziņojums par līgumu,  Paziņojums par metu konkursu, Paziņojums par plānoto līgumu 9.panta kārtībā, Paziņojums par sociālajiem un citiem īpašiem pakalpojumiem - paziņojums par līgumu.</t>
    </r>
  </si>
  <si>
    <r>
      <t xml:space="preserve">* </t>
    </r>
    <r>
      <rPr>
        <u/>
        <sz val="11"/>
        <rFont val="Times New Roman"/>
        <family val="1"/>
        <charset val="186"/>
      </rPr>
      <t>“Izsludināto iepirkumu skaits”</t>
    </r>
    <r>
      <rPr>
        <sz val="11"/>
        <rFont val="Times New Roman"/>
        <family val="1"/>
        <charset val="186"/>
      </rPr>
      <t xml:space="preserve"> - norādītais skaitlis veidojas no iepirkumiem, kuri IUB izsludināti, izmantojot šāda veida publikāciju veidlapas: Paziņojums par līgumu,  Paziņojums par metu konkursu, Paziņojums par plānoto līgumu 9.panta kārtībā, Paziņojums par sociālajiem un citiem īpašiem pakalpojumiem - paziņojums par līgumu.</t>
    </r>
  </si>
  <si>
    <r>
      <t xml:space="preserve">“9.panta kārtībā” - </t>
    </r>
    <r>
      <rPr>
        <sz val="11"/>
        <color indexed="8"/>
        <rFont val="Times New Roman"/>
        <family val="1"/>
        <charset val="186"/>
      </rPr>
      <t>iepirkumi, kuru piegādes vai pakalpojumu līgumu paredzamā līgumcena ir no 10 000 līdz 41 999 euro, un būvdarbu iepirkumi ar paredzamo līgumcenu no 20 000 euro līdz 169 999  euro.</t>
    </r>
  </si>
  <si>
    <r>
      <rPr>
        <b/>
        <sz val="11"/>
        <color indexed="8"/>
        <rFont val="Calibri"/>
        <family val="2"/>
        <charset val="186"/>
      </rPr>
      <t>9.</t>
    </r>
    <r>
      <rPr>
        <b/>
        <sz val="11"/>
        <color indexed="8"/>
        <rFont val="Times New Roman"/>
        <family val="1"/>
        <charset val="186"/>
      </rPr>
      <t>panta kārtībā</t>
    </r>
  </si>
  <si>
    <t>** "Rezultātu paziņojumu skaits"- norādītais skaits veidojas no iepirkumiem, kuri IUB izsludināti, izmantojot šāda veida veidlapas: Paziņojums par metu konkursa rezultātiem, Informatīvs paziņojums par noslēgto līgumu, Paziņojums par līguma slēgšanas tiesību piešķiršanu, Paziņojums par sociālajiem un citiem īpašiem pakalpojumiem - paziņojums par līgumu.</t>
  </si>
  <si>
    <t>Paziņojumu par izmaiņām vai papildu informāciju skaits</t>
  </si>
  <si>
    <t>***„Paziņojumu par grozījumiem skaits” - norādītais skaitlis veidojas no iepirkumiem, kuri IUB izsludināti, izmantojot šāda veida veidlapas: Paziņojums par izmaiņām vai papildu informāciju;</t>
  </si>
  <si>
    <r>
      <t>Publisko iepirkumu likuma</t>
    </r>
    <r>
      <rPr>
        <b/>
        <sz val="13"/>
        <rFont val="Times New Roman"/>
        <family val="1"/>
        <charset val="186"/>
      </rPr>
      <t xml:space="preserve"> 9.panta kārtībā publicēto rezultātu paziņojumu skaita un publikācijās norādītās līgumcenas dinamika</t>
    </r>
  </si>
  <si>
    <r>
      <t>Publisko iepirkumu likuma</t>
    </r>
    <r>
      <rPr>
        <b/>
        <sz val="13"/>
        <rFont val="Times New Roman"/>
        <family val="1"/>
        <charset val="186"/>
      </rPr>
      <t xml:space="preserve"> 9.panta kārtībā publicēto rezultātu paziņojumu skaita, vides prasību un ES fondu līdzfinansējumu attiecību dinamika (%)</t>
    </r>
  </si>
  <si>
    <r>
      <t>Publisko iepirkumu likuma</t>
    </r>
    <r>
      <rPr>
        <b/>
        <sz val="13"/>
        <rFont val="Times New Roman"/>
        <family val="1"/>
        <charset val="186"/>
      </rPr>
      <t xml:space="preserve"> 9.panta kārtībā publikācijās norādīto līgumcenu, vides prasību un ES fondu līdzfinansējumu attiecību dinamika (%)</t>
    </r>
  </si>
  <si>
    <r>
      <t>“</t>
    </r>
    <r>
      <rPr>
        <sz val="11"/>
        <color indexed="8"/>
        <rFont val="Calibri"/>
        <family val="2"/>
        <charset val="186"/>
      </rPr>
      <t>9.</t>
    </r>
    <r>
      <rPr>
        <i/>
        <sz val="11"/>
        <color indexed="8"/>
        <rFont val="Times New Roman"/>
        <family val="1"/>
        <charset val="186"/>
      </rPr>
      <t xml:space="preserve"> panta kārtībā” - </t>
    </r>
    <r>
      <rPr>
        <sz val="11"/>
        <color indexed="8"/>
        <rFont val="Times New Roman"/>
        <family val="1"/>
        <charset val="186"/>
      </rPr>
      <t>iepirkumi, kuru piegādes vai pakalpojumu līgumu paredzamā līgumcena ir no 10 000 līdz 41 999 euro, un būvdarbu iepirkumi ar paredzamo līgumcenu no 20 000 euro līdz 169 999  euro.</t>
    </r>
  </si>
  <si>
    <t>Īpatsvara (%) pieaugums 3. ceturksnī</t>
  </si>
  <si>
    <t>2017/III</t>
  </si>
  <si>
    <r>
      <t>** “</t>
    </r>
    <r>
      <rPr>
        <u/>
        <sz val="11"/>
        <rFont val="Times New Roman"/>
        <family val="1"/>
        <charset val="186"/>
      </rPr>
      <t>Rezultātu paziņojumu skaits”-</t>
    </r>
    <r>
      <rPr>
        <sz val="11"/>
        <rFont val="Times New Roman"/>
        <family val="1"/>
        <charset val="186"/>
      </rPr>
      <t xml:space="preserve"> norādītais skaits veidojas no iepirkumiem, kuri IUB izsludināti, izmantojot šāda veida veidlapas: </t>
    </r>
    <r>
      <rPr>
        <sz val="11"/>
        <color indexed="8"/>
        <rFont val="Times New Roman"/>
        <family val="1"/>
        <charset val="186"/>
      </rPr>
      <t>Paziņojums par metu konkursa rezultātiem, Informatīvs paziņojums par noslēgto līgumu, Paziņojums par līguma slēgšanas tiesību piešķiršanu, Paziņojums par sociālajiem un citiem īpašiem pakalpojumiem - paziņojums par līguma slēgšanas tiesību pešķiršanu.</t>
    </r>
  </si>
  <si>
    <t>** “Rezultātu paziņojumu skaits”- norādītais skaits veidojas no iepirkumiem, kuri IUB izsludināti, izmantojot šāda veida veidlapas: Paziņojums par metu konkursa rezultātiem, Paziņojums par līguma slēgšanas tiesību piešķiršanu, Paziņojums par sociālajiem un citiem īpašiem pakalpojumiem - paziņojums par līguma slēgšanas tiesību piešķiršanu.</t>
  </si>
  <si>
    <r>
      <t>** “</t>
    </r>
    <r>
      <rPr>
        <u/>
        <sz val="11"/>
        <rFont val="Times New Roman"/>
        <family val="1"/>
        <charset val="186"/>
      </rPr>
      <t>Rezultātu paziņojumu skaits”-</t>
    </r>
    <r>
      <rPr>
        <sz val="11"/>
        <rFont val="Times New Roman"/>
        <family val="1"/>
        <charset val="186"/>
      </rPr>
      <t xml:space="preserve"> norādītais skaits veidojas no iepirkumiem, kuri IUB izsludināti, izmantojot šāda veida veidlapas: </t>
    </r>
    <r>
      <rPr>
        <sz val="11"/>
        <color indexed="8"/>
        <rFont val="Times New Roman"/>
        <family val="1"/>
        <charset val="186"/>
      </rPr>
      <t>Paziņojums par metu konkursa rezultātiem, Informatīvs paziņojums par noslēgto līgumu, Paziņojums par līguma slēgšanas tiesību piešķiršanu, Paziņojums par sociālajiem un citiem īpašiem pakalpojumiem - paziņojums par līguma slēgšanas tiesību piešķiršanu.</t>
    </r>
  </si>
  <si>
    <t>Publisko iepirkumu likuma kārtībā publicēto paziņojumu skaits un līgumcenas  (2017. gada 4.ceturksnis)</t>
  </si>
  <si>
    <t>4. ceturksnis</t>
  </si>
  <si>
    <t>oktobris</t>
  </si>
  <si>
    <t>novembris</t>
  </si>
  <si>
    <t>decembris</t>
  </si>
  <si>
    <t>Publisko iepirkumu likuma kārtībā publicēto rezultātu paziņojumu skaits un publikācijās norādītā līgumcena pēc iepirkumu veida                                        (2017. gada 4. ceturksnis)</t>
  </si>
  <si>
    <t>Publisko iepirkumu likuma kārtībā publicēto rezultātu paziņojumu skaits un publikācijās norādītā līgumcena pēc iepirkumu veida (2017. gada 4. ceturksnis)</t>
  </si>
  <si>
    <t>Publisko iepirkumu likuma kārtībā publicēto paziņojumu skaita un publikācijās norādītās līgumcenas pieaugums attiecībā pret 2016. gada 4. ceturksni</t>
  </si>
  <si>
    <t>2016. gada 4. ceturksnis</t>
  </si>
  <si>
    <t>2017. gada 4. ceturksnis</t>
  </si>
  <si>
    <t>Īpatsvara (%) pieaugums 4. ceturksnī</t>
  </si>
  <si>
    <t>Publisko iepirkumu likuma kārtībā publicēto rezultātu paziņojumu skaita un publikācijās norādītās līgumcenas pieaugums pēc iepirkumu veida (attiecībā pret 2016. gada 4. ceturksni)</t>
  </si>
  <si>
    <t>Publisko iepirkumu likuma kārtībā publicēto paziņojumu un līgumcenu dinamika pa mēnešiem (4.ceturksnis)</t>
  </si>
  <si>
    <t>Oktobris</t>
  </si>
  <si>
    <t>Novembris</t>
  </si>
  <si>
    <t>Decembris</t>
  </si>
  <si>
    <t>Publisko iepirkumu likuma kārtībā publicēto rezultātu paziņojumu skaita un publikācijās norādītās līgumcenas pieaugums, kas saistīts ar Eiropas Savienības fondu līdzfinansējumu (attiecībā pret 2016.gada 4.ceturksni)</t>
  </si>
  <si>
    <r>
      <t>Publisko iepirkumu likuma 8.</t>
    </r>
    <r>
      <rPr>
        <b/>
        <sz val="12"/>
        <rFont val="Calibri"/>
        <family val="2"/>
        <charset val="186"/>
      </rPr>
      <t>² un 9.</t>
    </r>
    <r>
      <rPr>
        <b/>
        <sz val="12"/>
        <rFont val="Times New Roman"/>
        <family val="1"/>
        <charset val="186"/>
      </rPr>
      <t>panta kārtībā publicēto rezultātu paziņojumu skaita un publikācijās norādītās līgumcenas pieaugums, kas saistīts ar Eiropas Savienības fondu līdzfinansējumu (attiecībā pret 2016.gada 4.ceturksni)</t>
    </r>
  </si>
  <si>
    <t>Publisko iepirkumu likuma kārtībā publicēto rezultātu paziņojumu skaita un publikācijās norādītās līgumcenas pieaugums, kas saistīts ar vides aizsardzības prasībām (attiecībā pret 2016.gada 4.ceturksni)</t>
  </si>
  <si>
    <r>
      <t>Publisko iepirkumu likuma 8.</t>
    </r>
    <r>
      <rPr>
        <b/>
        <sz val="13"/>
        <rFont val="Calibri"/>
        <family val="2"/>
        <charset val="186"/>
      </rPr>
      <t>² un 9.</t>
    </r>
    <r>
      <rPr>
        <b/>
        <sz val="13"/>
        <rFont val="Times New Roman"/>
        <family val="1"/>
        <charset val="186"/>
      </rPr>
      <t>panta kārtībā publicēto rezultātu paziņojumu skaita un publikācijās norādītās līgumcenas pieaugums, kas saistīts ar vides aizsardzības prasībām (attiecībā pret 2016. gada 4. ceturksni)</t>
    </r>
  </si>
  <si>
    <t>2017/IV</t>
  </si>
  <si>
    <t>Publisko iepirkumu likuma kārtībā centralizēto iepirkumu skaits un kopējā līgumcena (2017. gada 4. ceturksnis)</t>
  </si>
  <si>
    <t>Publisko iepirkumu likuma kārtībā centralizēto iepirkumu skaita un kopējās līgumcenas pieaugums  (attiecībā pret 2016.gada 4.ceturksni)</t>
  </si>
  <si>
    <t>2017/iV</t>
  </si>
  <si>
    <t>Dati aprēķināti un izteikti no Publikāciju vadības sistēmas datu bāzes uz 15.01.2018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</si>
</sst>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_ ;\-#,##0\ "/>
    <numFmt numFmtId="166" formatCode="#,##0.0"/>
    <numFmt numFmtId="167" formatCode="0.000000"/>
    <numFmt numFmtId="168" formatCode="0.0"/>
  </numFmts>
  <fonts count="39" x14ac:knownFonts="1"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.5"/>
      <name val="Arial"/>
      <family val="2"/>
      <charset val="186"/>
    </font>
    <font>
      <b/>
      <sz val="10.5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.5"/>
      <name val="Times New Roman"/>
      <family val="1"/>
      <charset val="186"/>
    </font>
    <font>
      <i/>
      <sz val="10.5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10"/>
      <name val="Arial"/>
      <family val="2"/>
      <charset val="186"/>
    </font>
    <font>
      <b/>
      <i/>
      <u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u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Arial"/>
      <family val="2"/>
      <charset val="186"/>
    </font>
    <font>
      <i/>
      <sz val="1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3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Calibri"/>
      <family val="2"/>
      <charset val="186"/>
    </font>
    <font>
      <u/>
      <sz val="9"/>
      <color indexed="8"/>
      <name val="Calibri"/>
      <family val="2"/>
      <charset val="186"/>
    </font>
    <font>
      <sz val="8"/>
      <name val="Times New Roman"/>
      <family val="1"/>
      <charset val="186"/>
    </font>
    <font>
      <b/>
      <sz val="13"/>
      <name val="Calibri"/>
      <family val="2"/>
      <charset val="186"/>
    </font>
    <font>
      <b/>
      <sz val="12"/>
      <name val="Calibri"/>
      <family val="2"/>
      <charset val="186"/>
    </font>
    <font>
      <sz val="9"/>
      <name val="Arial"/>
      <family val="2"/>
      <charset val="186"/>
    </font>
    <font>
      <b/>
      <sz val="14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9"/>
      <color rgb="FF000000"/>
      <name val="Calibri"/>
      <family val="2"/>
      <charset val="186"/>
    </font>
    <font>
      <sz val="10.5"/>
      <name val="Calibri"/>
      <family val="2"/>
      <charset val="186"/>
    </font>
    <font>
      <b/>
      <i/>
      <sz val="10.5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indexed="8"/>
      <name val="Times New Roman"/>
      <family val="2"/>
      <charset val="186"/>
    </font>
    <font>
      <i/>
      <sz val="10.5"/>
      <name val="Times New Roman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3" fontId="0" fillId="0" borderId="0" xfId="0" applyNumberFormat="1"/>
    <xf numFmtId="0" fontId="4" fillId="2" borderId="0" xfId="0" applyFont="1" applyFill="1" applyBorder="1"/>
    <xf numFmtId="0" fontId="0" fillId="2" borderId="0" xfId="0" applyFill="1" applyBorder="1"/>
    <xf numFmtId="0" fontId="9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2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justify"/>
    </xf>
    <xf numFmtId="0" fontId="0" fillId="0" borderId="0" xfId="0" applyBorder="1"/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3" fontId="0" fillId="0" borderId="0" xfId="0" applyNumberFormat="1" applyBorder="1"/>
    <xf numFmtId="0" fontId="14" fillId="2" borderId="0" xfId="0" applyFont="1" applyFill="1" applyBorder="1" applyAlignment="1">
      <alignment horizontal="justify"/>
    </xf>
    <xf numFmtId="0" fontId="17" fillId="2" borderId="0" xfId="0" applyFont="1" applyFill="1" applyBorder="1" applyAlignment="1">
      <alignment horizontal="justify"/>
    </xf>
    <xf numFmtId="0" fontId="4" fillId="2" borderId="2" xfId="0" applyFont="1" applyFill="1" applyBorder="1"/>
    <xf numFmtId="0" fontId="0" fillId="2" borderId="2" xfId="0" applyFill="1" applyBorder="1"/>
    <xf numFmtId="0" fontId="0" fillId="0" borderId="4" xfId="0" applyBorder="1"/>
    <xf numFmtId="0" fontId="4" fillId="0" borderId="0" xfId="0" applyFont="1"/>
    <xf numFmtId="0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4" fillId="0" borderId="0" xfId="0" applyFont="1" applyBorder="1"/>
    <xf numFmtId="0" fontId="5" fillId="2" borderId="2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12" fillId="5" borderId="1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/>
    <xf numFmtId="0" fontId="0" fillId="8" borderId="1" xfId="0" applyFill="1" applyBorder="1"/>
    <xf numFmtId="0" fontId="12" fillId="0" borderId="1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0" borderId="7" xfId="0" applyFont="1" applyBorder="1" applyAlignment="1">
      <alignment horizontal="left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7" fillId="0" borderId="0" xfId="0" applyFont="1"/>
    <xf numFmtId="0" fontId="21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0" fillId="0" borderId="0" xfId="0" applyFont="1"/>
    <xf numFmtId="0" fontId="12" fillId="9" borderId="0" xfId="0" applyFont="1" applyFill="1" applyBorder="1" applyAlignment="1">
      <alignment horizontal="left" vertical="center" wrapText="1"/>
    </xf>
    <xf numFmtId="164" fontId="12" fillId="9" borderId="0" xfId="0" applyNumberFormat="1" applyFont="1" applyFill="1" applyBorder="1" applyAlignment="1">
      <alignment horizontal="center"/>
    </xf>
    <xf numFmtId="0" fontId="0" fillId="4" borderId="0" xfId="0" applyFill="1" applyBorder="1"/>
    <xf numFmtId="165" fontId="0" fillId="0" borderId="0" xfId="0" applyNumberFormat="1" applyBorder="1"/>
    <xf numFmtId="3" fontId="0" fillId="0" borderId="2" xfId="0" applyNumberFormat="1" applyBorder="1"/>
    <xf numFmtId="0" fontId="13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165" fontId="0" fillId="0" borderId="21" xfId="0" applyNumberForma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vertical="center"/>
    </xf>
    <xf numFmtId="0" fontId="0" fillId="7" borderId="23" xfId="0" applyFill="1" applyBorder="1"/>
    <xf numFmtId="0" fontId="12" fillId="5" borderId="7" xfId="0" applyFont="1" applyFill="1" applyBorder="1" applyAlignment="1">
      <alignment horizontal="center"/>
    </xf>
    <xf numFmtId="3" fontId="12" fillId="5" borderId="11" xfId="0" applyNumberFormat="1" applyFont="1" applyFill="1" applyBorder="1" applyAlignment="1">
      <alignment horizontal="center"/>
    </xf>
    <xf numFmtId="164" fontId="0" fillId="7" borderId="17" xfId="0" applyNumberFormat="1" applyFill="1" applyBorder="1" applyAlignment="1">
      <alignment horizontal="center" vertical="center" wrapText="1"/>
    </xf>
    <xf numFmtId="164" fontId="0" fillId="7" borderId="3" xfId="0" applyNumberFormat="1" applyFill="1" applyBorder="1" applyAlignment="1">
      <alignment horizontal="center" vertical="center" wrapText="1"/>
    </xf>
    <xf numFmtId="164" fontId="0" fillId="7" borderId="18" xfId="0" applyNumberFormat="1" applyFill="1" applyBorder="1" applyAlignment="1">
      <alignment horizontal="center" vertical="center" wrapText="1"/>
    </xf>
    <xf numFmtId="164" fontId="12" fillId="5" borderId="7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17" fontId="0" fillId="0" borderId="0" xfId="0" applyNumberFormat="1"/>
    <xf numFmtId="0" fontId="0" fillId="10" borderId="0" xfId="0" applyFill="1"/>
    <xf numFmtId="166" fontId="0" fillId="10" borderId="0" xfId="0" applyNumberFormat="1" applyFill="1"/>
    <xf numFmtId="166" fontId="0" fillId="0" borderId="0" xfId="0" applyNumberFormat="1"/>
    <xf numFmtId="167" fontId="0" fillId="0" borderId="0" xfId="0" applyNumberFormat="1"/>
    <xf numFmtId="0" fontId="0" fillId="4" borderId="0" xfId="0" applyFill="1"/>
    <xf numFmtId="166" fontId="0" fillId="4" borderId="0" xfId="0" applyNumberFormat="1" applyFill="1"/>
    <xf numFmtId="0" fontId="0" fillId="0" borderId="1" xfId="0" applyBorder="1" applyAlignment="1">
      <alignment horizontal="center"/>
    </xf>
    <xf numFmtId="0" fontId="0" fillId="4" borderId="0" xfId="0" applyFill="1" applyBorder="1" applyAlignment="1"/>
    <xf numFmtId="0" fontId="0" fillId="11" borderId="0" xfId="0" applyFill="1"/>
    <xf numFmtId="164" fontId="0" fillId="0" borderId="16" xfId="0" applyNumberFormat="1" applyFill="1" applyBorder="1"/>
    <xf numFmtId="0" fontId="0" fillId="4" borderId="0" xfId="0" applyNumberFormat="1" applyFill="1"/>
    <xf numFmtId="3" fontId="0" fillId="4" borderId="0" xfId="0" applyNumberFormat="1" applyFill="1"/>
    <xf numFmtId="0" fontId="6" fillId="4" borderId="1" xfId="0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3" fontId="14" fillId="4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/>
    <xf numFmtId="0" fontId="0" fillId="4" borderId="17" xfId="0" applyFill="1" applyBorder="1" applyAlignment="1">
      <alignment horizontal="center" vertical="center" wrapText="1"/>
    </xf>
    <xf numFmtId="165" fontId="0" fillId="4" borderId="19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5" fontId="0" fillId="4" borderId="20" xfId="0" applyNumberForma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wrapText="1"/>
    </xf>
    <xf numFmtId="164" fontId="35" fillId="4" borderId="1" xfId="0" applyNumberFormat="1" applyFont="1" applyFill="1" applyBorder="1" applyAlignment="1">
      <alignment horizontal="center" wrapText="1"/>
    </xf>
    <xf numFmtId="165" fontId="35" fillId="4" borderId="8" xfId="0" applyNumberFormat="1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36" fillId="4" borderId="24" xfId="0" applyFont="1" applyFill="1" applyBorder="1" applyAlignment="1">
      <alignment horizontal="center" vertical="center" wrapText="1"/>
    </xf>
    <xf numFmtId="164" fontId="36" fillId="4" borderId="24" xfId="0" applyNumberFormat="1" applyFont="1" applyFill="1" applyBorder="1" applyAlignment="1">
      <alignment horizontal="center" vertical="center" wrapText="1"/>
    </xf>
    <xf numFmtId="165" fontId="36" fillId="4" borderId="9" xfId="0" applyNumberFormat="1" applyFont="1" applyFill="1" applyBorder="1" applyAlignment="1">
      <alignment horizontal="center" vertical="center" wrapText="1"/>
    </xf>
    <xf numFmtId="164" fontId="5" fillId="4" borderId="24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/>
    </xf>
    <xf numFmtId="3" fontId="6" fillId="4" borderId="24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justify"/>
    </xf>
    <xf numFmtId="3" fontId="0" fillId="0" borderId="0" xfId="0" applyNumberFormat="1" applyBorder="1" applyAlignment="1">
      <alignment horizontal="justify"/>
    </xf>
    <xf numFmtId="164" fontId="0" fillId="0" borderId="0" xfId="0" applyNumberFormat="1" applyFill="1" applyBorder="1"/>
    <xf numFmtId="0" fontId="13" fillId="0" borderId="0" xfId="0" applyFont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center" wrapText="1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8" fillId="0" borderId="1" xfId="0" applyFont="1" applyBorder="1" applyAlignment="1">
      <alignment horizontal="right"/>
    </xf>
    <xf numFmtId="165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5" fontId="0" fillId="0" borderId="2" xfId="0" applyNumberFormat="1" applyBorder="1"/>
    <xf numFmtId="168" fontId="0" fillId="0" borderId="0" xfId="0" applyNumberFormat="1"/>
    <xf numFmtId="0" fontId="4" fillId="5" borderId="6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6" xfId="0" applyBorder="1"/>
    <xf numFmtId="0" fontId="0" fillId="0" borderId="1" xfId="0" applyBorder="1"/>
    <xf numFmtId="3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justify" vertical="center" wrapText="1"/>
    </xf>
    <xf numFmtId="0" fontId="16" fillId="3" borderId="16" xfId="0" applyFont="1" applyFill="1" applyBorder="1" applyAlignment="1">
      <alignment horizontal="justify" vertical="center" wrapText="1"/>
    </xf>
    <xf numFmtId="0" fontId="16" fillId="3" borderId="13" xfId="0" applyFont="1" applyFill="1" applyBorder="1" applyAlignment="1">
      <alignment horizontal="justify" vertical="center" wrapText="1"/>
    </xf>
    <xf numFmtId="0" fontId="14" fillId="3" borderId="14" xfId="0" applyFont="1" applyFill="1" applyBorder="1" applyAlignment="1">
      <alignment horizontal="justify" vertical="center" wrapText="1"/>
    </xf>
    <xf numFmtId="0" fontId="14" fillId="3" borderId="16" xfId="0" applyFont="1" applyFill="1" applyBorder="1" applyAlignment="1">
      <alignment horizontal="justify" vertical="center" wrapText="1"/>
    </xf>
    <xf numFmtId="0" fontId="14" fillId="3" borderId="13" xfId="0" applyFont="1" applyFill="1" applyBorder="1" applyAlignment="1">
      <alignment horizontal="justify" vertical="center" wrapText="1"/>
    </xf>
    <xf numFmtId="0" fontId="19" fillId="3" borderId="14" xfId="0" applyFont="1" applyFill="1" applyBorder="1" applyAlignment="1">
      <alignment horizontal="justify" vertical="center" wrapText="1"/>
    </xf>
    <xf numFmtId="0" fontId="19" fillId="3" borderId="16" xfId="0" applyFont="1" applyFill="1" applyBorder="1" applyAlignment="1">
      <alignment horizontal="justify" vertical="center" wrapText="1"/>
    </xf>
    <xf numFmtId="0" fontId="19" fillId="3" borderId="13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justify" vertical="center" wrapText="1"/>
    </xf>
    <xf numFmtId="0" fontId="12" fillId="2" borderId="16" xfId="0" applyFont="1" applyFill="1" applyBorder="1" applyAlignment="1">
      <alignment horizontal="justify" vertical="center" wrapText="1"/>
    </xf>
    <xf numFmtId="0" fontId="12" fillId="2" borderId="13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9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7" fillId="5" borderId="8" xfId="0" applyFont="1" applyFill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27" fillId="0" borderId="2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12" fillId="5" borderId="8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5" borderId="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>
      <alignment horizontal="left" vertical="center" wrapText="1"/>
    </xf>
    <xf numFmtId="0" fontId="10" fillId="7" borderId="12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5" borderId="7" xfId="0" applyFont="1" applyFill="1" applyBorder="1" applyAlignment="1">
      <alignment horizontal="right"/>
    </xf>
    <xf numFmtId="0" fontId="35" fillId="0" borderId="8" xfId="0" applyFont="1" applyBorder="1" applyAlignment="1">
      <alignment horizontal="right"/>
    </xf>
    <xf numFmtId="0" fontId="35" fillId="0" borderId="6" xfId="0" applyFont="1" applyBorder="1" applyAlignment="1">
      <alignment horizontal="right"/>
    </xf>
    <xf numFmtId="0" fontId="35" fillId="0" borderId="9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'5)_PIL_dinamika_4_cet'!$D$46</c:f>
              <c:strCache>
                <c:ptCount val="1"/>
                <c:pt idx="0">
                  <c:v>Izsludināto iepirkumu skaits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'5)_PIL_dinamika_4_cet'!$C$47:$C$49</c:f>
              <c:strCache>
                <c:ptCount val="3"/>
                <c:pt idx="0">
                  <c:v>Oktobris</c:v>
                </c:pt>
                <c:pt idx="1">
                  <c:v>Novembris</c:v>
                </c:pt>
                <c:pt idx="2">
                  <c:v>Decembris</c:v>
                </c:pt>
              </c:strCache>
            </c:strRef>
          </c:cat>
          <c:val>
            <c:numRef>
              <c:f>'5)_PIL_dinamika_4_cet'!$D$47:$D$49</c:f>
              <c:numCache>
                <c:formatCode>General</c:formatCode>
                <c:ptCount val="3"/>
                <c:pt idx="0">
                  <c:v>78</c:v>
                </c:pt>
                <c:pt idx="1">
                  <c:v>85</c:v>
                </c:pt>
                <c:pt idx="2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7-47B3-AA36-4CBFE31374A7}"/>
            </c:ext>
          </c:extLst>
        </c:ser>
        <c:ser>
          <c:idx val="1"/>
          <c:order val="1"/>
          <c:tx>
            <c:strRef>
              <c:f>'5)_PIL_dinamika_4_cet'!$E$46</c:f>
              <c:strCache>
                <c:ptCount val="1"/>
                <c:pt idx="0">
                  <c:v>Paziņojumu par izmaiņām vai papildu informāciju skaits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6.2745098039215684E-3"/>
                  <c:y val="-2.1893811222940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92-40A2-9595-19E709CD6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'5)_PIL_dinamika_4_cet'!$C$47:$C$49</c:f>
              <c:strCache>
                <c:ptCount val="3"/>
                <c:pt idx="0">
                  <c:v>Oktobris</c:v>
                </c:pt>
                <c:pt idx="1">
                  <c:v>Novembris</c:v>
                </c:pt>
                <c:pt idx="2">
                  <c:v>Decembris</c:v>
                </c:pt>
              </c:strCache>
            </c:strRef>
          </c:cat>
          <c:val>
            <c:numRef>
              <c:f>'5)_PIL_dinamika_4_cet'!$E$47:$E$49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7-47B3-AA36-4CBFE31374A7}"/>
            </c:ext>
          </c:extLst>
        </c:ser>
        <c:ser>
          <c:idx val="2"/>
          <c:order val="2"/>
          <c:tx>
            <c:strRef>
              <c:f>'5)_PIL_dinamika_4_cet'!$F$46</c:f>
              <c:strCache>
                <c:ptCount val="1"/>
                <c:pt idx="0">
                  <c:v>Rezultātu paziņojumu skaits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2549019607843079E-2"/>
                  <c:y val="-2.62725734675280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2-40A2-9595-19E709CD6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'5)_PIL_dinamika_4_cet'!$C$47:$C$49</c:f>
              <c:strCache>
                <c:ptCount val="3"/>
                <c:pt idx="0">
                  <c:v>Oktobris</c:v>
                </c:pt>
                <c:pt idx="1">
                  <c:v>Novembris</c:v>
                </c:pt>
                <c:pt idx="2">
                  <c:v>Decembris</c:v>
                </c:pt>
              </c:strCache>
            </c:strRef>
          </c:cat>
          <c:val>
            <c:numRef>
              <c:f>'5)_PIL_dinamika_4_cet'!$F$47:$F$49</c:f>
              <c:numCache>
                <c:formatCode>General</c:formatCode>
                <c:ptCount val="3"/>
                <c:pt idx="0">
                  <c:v>150</c:v>
                </c:pt>
                <c:pt idx="1">
                  <c:v>170</c:v>
                </c:pt>
                <c:pt idx="2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7-47B3-AA36-4CBFE3137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1138480"/>
        <c:axId val="191132992"/>
      </c:barChart>
      <c:lineChart>
        <c:grouping val="standard"/>
        <c:varyColors val="0"/>
        <c:ser>
          <c:idx val="3"/>
          <c:order val="3"/>
          <c:tx>
            <c:strRef>
              <c:f>'5)_PIL_dinamika_4_cet'!$G$46</c:f>
              <c:strCache>
                <c:ptCount val="1"/>
                <c:pt idx="0">
                  <c:v>Rezultātos norādītā līgumcena (EUR bez PVN)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5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8.9294179404045076E-2"/>
                  <c:y val="-8.5353109248738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A6-4BA4-93B7-D5CE34931D76}"/>
                </c:ext>
              </c:extLst>
            </c:dLbl>
            <c:dLbl>
              <c:idx val="1"/>
              <c:layout>
                <c:manualLayout>
                  <c:x val="-0.11527064999228037"/>
                  <c:y val="-8.0974347004150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96-49E0-AF97-D6B083344EC5}"/>
                </c:ext>
              </c:extLst>
            </c:dLbl>
            <c:dLbl>
              <c:idx val="2"/>
              <c:layout>
                <c:manualLayout>
                  <c:x val="-0.11125496371777058"/>
                  <c:y val="-6.3459298025798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A6-4BA4-93B7-D5CE34931D76}"/>
                </c:ext>
              </c:extLst>
            </c:dLbl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'5)_PIL_dinamika_4_cet'!$C$47:$C$49</c:f>
              <c:strCache>
                <c:ptCount val="3"/>
                <c:pt idx="0">
                  <c:v>Oktobris</c:v>
                </c:pt>
                <c:pt idx="1">
                  <c:v>Novembris</c:v>
                </c:pt>
                <c:pt idx="2">
                  <c:v>Decembris</c:v>
                </c:pt>
              </c:strCache>
            </c:strRef>
          </c:cat>
          <c:val>
            <c:numRef>
              <c:f>'5)_PIL_dinamika_4_cet'!$G$47:$G$49</c:f>
              <c:numCache>
                <c:formatCode>0.0</c:formatCode>
                <c:ptCount val="3"/>
                <c:pt idx="0">
                  <c:v>94.101810999999998</c:v>
                </c:pt>
                <c:pt idx="1">
                  <c:v>114.622247</c:v>
                </c:pt>
                <c:pt idx="2">
                  <c:v>108.419169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17-47B3-AA36-4CBFE3137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32600"/>
        <c:axId val="191139264"/>
      </c:lineChart>
      <c:catAx>
        <c:axId val="19113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1132992"/>
        <c:crosses val="autoZero"/>
        <c:auto val="1"/>
        <c:lblAlgn val="ctr"/>
        <c:lblOffset val="100"/>
        <c:noMultiLvlLbl val="0"/>
      </c:catAx>
      <c:valAx>
        <c:axId val="1911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Skaits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1138480"/>
        <c:crosses val="autoZero"/>
        <c:crossBetween val="between"/>
      </c:valAx>
      <c:valAx>
        <c:axId val="1911392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Milj.EUR</a:t>
                </a:r>
                <a:r>
                  <a:rPr lang="lv-LV" baseline="0"/>
                  <a:t> (bez PVN)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1132600"/>
        <c:crosses val="max"/>
        <c:crossBetween val="between"/>
      </c:valAx>
      <c:catAx>
        <c:axId val="191132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139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'5)_PIL_dinamika_4_cet'!$J$46</c:f>
              <c:strCache>
                <c:ptCount val="1"/>
                <c:pt idx="0">
                  <c:v>Izsludināto iepirkumu skaits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'5)_PIL_dinamika_4_cet'!$C$47:$C$49</c:f>
              <c:strCache>
                <c:ptCount val="3"/>
                <c:pt idx="0">
                  <c:v>Oktobris</c:v>
                </c:pt>
                <c:pt idx="1">
                  <c:v>Novembris</c:v>
                </c:pt>
                <c:pt idx="2">
                  <c:v>Decembris</c:v>
                </c:pt>
              </c:strCache>
            </c:strRef>
          </c:cat>
          <c:val>
            <c:numRef>
              <c:f>'5)_PIL_dinamika_4_cet'!$J$47:$J$49</c:f>
              <c:numCache>
                <c:formatCode>General</c:formatCode>
                <c:ptCount val="3"/>
                <c:pt idx="0">
                  <c:v>256</c:v>
                </c:pt>
                <c:pt idx="1">
                  <c:v>236</c:v>
                </c:pt>
                <c:pt idx="2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9-4AA8-A831-DA375EBEDD09}"/>
            </c:ext>
          </c:extLst>
        </c:ser>
        <c:ser>
          <c:idx val="1"/>
          <c:order val="1"/>
          <c:tx>
            <c:strRef>
              <c:f>'5)_PIL_dinamika_4_cet'!$K$46</c:f>
              <c:strCache>
                <c:ptCount val="1"/>
                <c:pt idx="0">
                  <c:v>Paziņojumu par izmaiņām vai papildu informāciju skaits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'5)_PIL_dinamika_4_cet'!$C$47:$C$49</c:f>
              <c:strCache>
                <c:ptCount val="3"/>
                <c:pt idx="0">
                  <c:v>Oktobris</c:v>
                </c:pt>
                <c:pt idx="1">
                  <c:v>Novembris</c:v>
                </c:pt>
                <c:pt idx="2">
                  <c:v>Decembris</c:v>
                </c:pt>
              </c:strCache>
            </c:strRef>
          </c:cat>
          <c:val>
            <c:numRef>
              <c:f>'5)_PIL_dinamika_4_cet'!$K$47:$K$49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A9-4AA8-A831-DA375EBEDD09}"/>
            </c:ext>
          </c:extLst>
        </c:ser>
        <c:ser>
          <c:idx val="2"/>
          <c:order val="2"/>
          <c:tx>
            <c:strRef>
              <c:f>'5)_PIL_dinamika_4_cet'!$L$46</c:f>
              <c:strCache>
                <c:ptCount val="1"/>
                <c:pt idx="0">
                  <c:v>Rezultātu paziņojumu skaits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'5)_PIL_dinamika_4_cet'!$C$47:$C$49</c:f>
              <c:strCache>
                <c:ptCount val="3"/>
                <c:pt idx="0">
                  <c:v>Oktobris</c:v>
                </c:pt>
                <c:pt idx="1">
                  <c:v>Novembris</c:v>
                </c:pt>
                <c:pt idx="2">
                  <c:v>Decembris</c:v>
                </c:pt>
              </c:strCache>
            </c:strRef>
          </c:cat>
          <c:val>
            <c:numRef>
              <c:f>'5)_PIL_dinamika_4_cet'!$L$47:$L$49</c:f>
              <c:numCache>
                <c:formatCode>General</c:formatCode>
                <c:ptCount val="3"/>
                <c:pt idx="0">
                  <c:v>297</c:v>
                </c:pt>
                <c:pt idx="1">
                  <c:v>222</c:v>
                </c:pt>
                <c:pt idx="2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A9-4AA8-A831-DA375EBE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1138872"/>
        <c:axId val="191137304"/>
      </c:barChart>
      <c:lineChart>
        <c:grouping val="standard"/>
        <c:varyColors val="0"/>
        <c:ser>
          <c:idx val="3"/>
          <c:order val="3"/>
          <c:tx>
            <c:strRef>
              <c:f>'5)_PIL_dinamika_4_cet'!$M$46</c:f>
              <c:strCache>
                <c:ptCount val="1"/>
                <c:pt idx="0">
                  <c:v>Rezultātos norādītā līgumcena (EUR bez PVN)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5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6.1058885286397996E-2"/>
                  <c:y val="-0.159792067406734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9D-4687-A79E-7C9C1AB52BCB}"/>
                </c:ext>
              </c:extLst>
            </c:dLbl>
            <c:dLbl>
              <c:idx val="1"/>
              <c:layout>
                <c:manualLayout>
                  <c:x val="-2.968633626679024E-2"/>
                  <c:y val="-0.229852263320143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9D-4687-A79E-7C9C1AB52BCB}"/>
                </c:ext>
              </c:extLst>
            </c:dLbl>
            <c:dLbl>
              <c:idx val="2"/>
              <c:layout>
                <c:manualLayout>
                  <c:x val="-7.9882414698162846E-2"/>
                  <c:y val="-0.168549591895910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5-4656-934F-0D2C260B2CE6}"/>
                </c:ext>
              </c:extLst>
            </c:dLbl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'5)_PIL_dinamika_4_cet'!$C$47:$C$49</c:f>
              <c:strCache>
                <c:ptCount val="3"/>
                <c:pt idx="0">
                  <c:v>Oktobris</c:v>
                </c:pt>
                <c:pt idx="1">
                  <c:v>Novembris</c:v>
                </c:pt>
                <c:pt idx="2">
                  <c:v>Decembris</c:v>
                </c:pt>
              </c:strCache>
            </c:strRef>
          </c:cat>
          <c:val>
            <c:numRef>
              <c:f>'5)_PIL_dinamika_4_cet'!$M$47:$M$49</c:f>
              <c:numCache>
                <c:formatCode>0.0</c:formatCode>
                <c:ptCount val="3"/>
                <c:pt idx="0">
                  <c:v>60.076495999999999</c:v>
                </c:pt>
                <c:pt idx="1">
                  <c:v>29.560381</c:v>
                </c:pt>
                <c:pt idx="2">
                  <c:v>42.792037999999998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A9-4AA8-A831-DA375EBE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34952"/>
        <c:axId val="191139656"/>
      </c:lineChart>
      <c:catAx>
        <c:axId val="19113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1137304"/>
        <c:crosses val="autoZero"/>
        <c:auto val="1"/>
        <c:lblAlgn val="ctr"/>
        <c:lblOffset val="100"/>
        <c:noMultiLvlLbl val="0"/>
      </c:catAx>
      <c:valAx>
        <c:axId val="19113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Skaits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1138872"/>
        <c:crosses val="autoZero"/>
        <c:crossBetween val="between"/>
      </c:valAx>
      <c:valAx>
        <c:axId val="1911396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Milj.EUR</a:t>
                </a:r>
                <a:r>
                  <a:rPr lang="lv-LV" baseline="0"/>
                  <a:t> (bez PVN)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1134952"/>
        <c:crosses val="max"/>
        <c:crossBetween val="between"/>
      </c:valAx>
      <c:catAx>
        <c:axId val="191134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139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'8)_PIL_cet_dinamika_virs_zem'!$D$40</c:f>
              <c:strCache>
                <c:ptCount val="1"/>
                <c:pt idx="0">
                  <c:v>Rezultātu paziņojumu skaits iepirkumiem virs ES līgumcenu sliekšņa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'8)_PIL_cet_dinamika_virs_zem'!$C$41:$C$56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'8)_PIL_cet_dinamika_virs_zem'!$D$41:$D$56</c:f>
              <c:numCache>
                <c:formatCode>General</c:formatCode>
                <c:ptCount val="16"/>
                <c:pt idx="0">
                  <c:v>258</c:v>
                </c:pt>
                <c:pt idx="1">
                  <c:v>323</c:v>
                </c:pt>
                <c:pt idx="2">
                  <c:v>328</c:v>
                </c:pt>
                <c:pt idx="3">
                  <c:v>389</c:v>
                </c:pt>
                <c:pt idx="4">
                  <c:v>330</c:v>
                </c:pt>
                <c:pt idx="5">
                  <c:v>375</c:v>
                </c:pt>
                <c:pt idx="6">
                  <c:v>453</c:v>
                </c:pt>
                <c:pt idx="7">
                  <c:v>348</c:v>
                </c:pt>
                <c:pt idx="8">
                  <c:v>287</c:v>
                </c:pt>
                <c:pt idx="9">
                  <c:v>300</c:v>
                </c:pt>
                <c:pt idx="10">
                  <c:v>350</c:v>
                </c:pt>
                <c:pt idx="11">
                  <c:v>333</c:v>
                </c:pt>
                <c:pt idx="12">
                  <c:v>254</c:v>
                </c:pt>
                <c:pt idx="13">
                  <c:v>381</c:v>
                </c:pt>
                <c:pt idx="14">
                  <c:v>508</c:v>
                </c:pt>
                <c:pt idx="15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6-4BB3-AA38-7C38B500FFE3}"/>
            </c:ext>
          </c:extLst>
        </c:ser>
        <c:ser>
          <c:idx val="2"/>
          <c:order val="2"/>
          <c:tx>
            <c:strRef>
              <c:f>'8)_PIL_cet_dinamika_virs_zem'!$F$40</c:f>
              <c:strCache>
                <c:ptCount val="1"/>
                <c:pt idx="0">
                  <c:v>Rezultātu paziņojumu skaits iepirkumiem zem ES līgumcenu sliekšņa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'8)_PIL_cet_dinamika_virs_zem'!$C$41:$C$56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'8)_PIL_cet_dinamika_virs_zem'!$F$41:$F$56</c:f>
              <c:numCache>
                <c:formatCode>General</c:formatCode>
                <c:ptCount val="16"/>
                <c:pt idx="0">
                  <c:v>544</c:v>
                </c:pt>
                <c:pt idx="1">
                  <c:v>744</c:v>
                </c:pt>
                <c:pt idx="2">
                  <c:v>687</c:v>
                </c:pt>
                <c:pt idx="3">
                  <c:v>531</c:v>
                </c:pt>
                <c:pt idx="4">
                  <c:v>424</c:v>
                </c:pt>
                <c:pt idx="5">
                  <c:v>671</c:v>
                </c:pt>
                <c:pt idx="6">
                  <c:v>522</c:v>
                </c:pt>
                <c:pt idx="7">
                  <c:v>457</c:v>
                </c:pt>
                <c:pt idx="8">
                  <c:v>440</c:v>
                </c:pt>
                <c:pt idx="9">
                  <c:v>648</c:v>
                </c:pt>
                <c:pt idx="10">
                  <c:v>541</c:v>
                </c:pt>
                <c:pt idx="11">
                  <c:v>561</c:v>
                </c:pt>
                <c:pt idx="12">
                  <c:v>373</c:v>
                </c:pt>
                <c:pt idx="13">
                  <c:v>731</c:v>
                </c:pt>
                <c:pt idx="14">
                  <c:v>799</c:v>
                </c:pt>
                <c:pt idx="15">
                  <c:v>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6-4BB3-AA38-7C38B500F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1134168"/>
        <c:axId val="191136520"/>
      </c:barChart>
      <c:lineChart>
        <c:grouping val="standard"/>
        <c:varyColors val="0"/>
        <c:ser>
          <c:idx val="1"/>
          <c:order val="1"/>
          <c:tx>
            <c:strRef>
              <c:f>'8)_PIL_cet_dinamika_virs_zem'!$E$40</c:f>
              <c:strCache>
                <c:ptCount val="1"/>
                <c:pt idx="0">
                  <c:v>Rezultātos norādītā līgumcena virs ES sliekšņa iepirkumiem (milj.eiro)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'8)_PIL_cet_dinamika_virs_zem'!$C$41:$C$56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'8)_PIL_cet_dinamika_virs_zem'!$E$41:$E$56</c:f>
              <c:numCache>
                <c:formatCode>#\ ##0.0</c:formatCode>
                <c:ptCount val="16"/>
                <c:pt idx="0">
                  <c:v>163.187083</c:v>
                </c:pt>
                <c:pt idx="1">
                  <c:v>406.67149000000001</c:v>
                </c:pt>
                <c:pt idx="2">
                  <c:v>310.35264000000001</c:v>
                </c:pt>
                <c:pt idx="3">
                  <c:v>301.407759</c:v>
                </c:pt>
                <c:pt idx="4">
                  <c:v>508.36058000000003</c:v>
                </c:pt>
                <c:pt idx="5">
                  <c:v>258.22252300000002</c:v>
                </c:pt>
                <c:pt idx="6">
                  <c:v>323.10068000000001</c:v>
                </c:pt>
                <c:pt idx="7">
                  <c:v>275.7</c:v>
                </c:pt>
                <c:pt idx="8">
                  <c:v>217.7</c:v>
                </c:pt>
                <c:pt idx="9">
                  <c:v>333</c:v>
                </c:pt>
                <c:pt idx="10">
                  <c:v>306.5</c:v>
                </c:pt>
                <c:pt idx="11">
                  <c:v>374.7</c:v>
                </c:pt>
                <c:pt idx="12">
                  <c:v>301.54679599999997</c:v>
                </c:pt>
                <c:pt idx="13">
                  <c:v>347.879727</c:v>
                </c:pt>
                <c:pt idx="14">
                  <c:v>556.79999999999995</c:v>
                </c:pt>
                <c:pt idx="15">
                  <c:v>317.14322700000002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6-4BB3-AA38-7C38B500FFE3}"/>
            </c:ext>
          </c:extLst>
        </c:ser>
        <c:ser>
          <c:idx val="3"/>
          <c:order val="3"/>
          <c:tx>
            <c:strRef>
              <c:f>'8)_PIL_cet_dinamika_virs_zem'!$G$40</c:f>
              <c:strCache>
                <c:ptCount val="1"/>
                <c:pt idx="0">
                  <c:v>Rezultātos norādītā līgumcena zem ES sliekšņa iepirkumiem (milj.eiro)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119460500963391E-2"/>
                  <c:y val="6.2561094819159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96-4BB3-AA38-7C38B500FFE3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'8)_PIL_cet_dinamika_virs_zem'!$C$41:$C$56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'8)_PIL_cet_dinamika_virs_zem'!$G$41:$G$56</c:f>
              <c:numCache>
                <c:formatCode>#\ ##0.0</c:formatCode>
                <c:ptCount val="16"/>
                <c:pt idx="0">
                  <c:v>110.50492199999999</c:v>
                </c:pt>
                <c:pt idx="1">
                  <c:v>154.91711799999999</c:v>
                </c:pt>
                <c:pt idx="2">
                  <c:v>123.844688</c:v>
                </c:pt>
                <c:pt idx="3">
                  <c:v>71.127697999999995</c:v>
                </c:pt>
                <c:pt idx="4">
                  <c:v>65.364176999999998</c:v>
                </c:pt>
                <c:pt idx="5">
                  <c:v>144.38638</c:v>
                </c:pt>
                <c:pt idx="6">
                  <c:v>92.490590999999995</c:v>
                </c:pt>
                <c:pt idx="7">
                  <c:v>52.1</c:v>
                </c:pt>
                <c:pt idx="8">
                  <c:v>85.4</c:v>
                </c:pt>
                <c:pt idx="9">
                  <c:v>140.80000000000001</c:v>
                </c:pt>
                <c:pt idx="10">
                  <c:v>130.30000000000001</c:v>
                </c:pt>
                <c:pt idx="11">
                  <c:v>114.6</c:v>
                </c:pt>
                <c:pt idx="12">
                  <c:v>83.735808000000006</c:v>
                </c:pt>
                <c:pt idx="13">
                  <c:v>183.777579</c:v>
                </c:pt>
                <c:pt idx="14">
                  <c:v>169.9</c:v>
                </c:pt>
                <c:pt idx="15">
                  <c:v>132.42891499999999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96-4BB3-AA38-7C38B500F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37696"/>
        <c:axId val="191134560"/>
      </c:lineChart>
      <c:catAx>
        <c:axId val="19113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1136520"/>
        <c:crosses val="autoZero"/>
        <c:auto val="1"/>
        <c:lblAlgn val="ctr"/>
        <c:lblOffset val="100"/>
        <c:noMultiLvlLbl val="0"/>
      </c:catAx>
      <c:valAx>
        <c:axId val="191136520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Rezultātu paziņojumu skaits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1134168"/>
        <c:crosses val="autoZero"/>
        <c:crossBetween val="between"/>
      </c:valAx>
      <c:valAx>
        <c:axId val="1911345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Rezultātos</a:t>
                </a:r>
                <a:r>
                  <a:rPr lang="lv-LV" baseline="0"/>
                  <a:t> norādītā līgumcena (milj.eiro)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1137696"/>
        <c:crosses val="max"/>
        <c:crossBetween val="between"/>
      </c:valAx>
      <c:catAx>
        <c:axId val="19113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134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635737840462253E-2"/>
          <c:y val="0.84804217524385384"/>
          <c:w val="0.8426010780104467"/>
          <c:h val="0.12139430995194368"/>
        </c:manualLayout>
      </c:layout>
      <c:overlay val="0"/>
      <c:spPr>
        <a:noFill/>
        <a:ln>
          <a:noFill/>
        </a:ln>
        <a:effectLst>
          <a:outerShdw blurRad="50800" dist="50800" dir="5400000" sx="1000" sy="1000" algn="ctr" rotWithShape="0">
            <a:srgbClr val="000000">
              <a:alpha val="50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8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'9)PIL_din_proced_vide_ES_skaits'!$J$37</c:f>
              <c:strCache>
                <c:ptCount val="1"/>
                <c:pt idx="0">
                  <c:v>Vides prasības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5705893529257487E-2"/>
                  <c:y val="4.62962962962962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FD-4EBD-BA6A-FCF4DCC262A3}"/>
                </c:ext>
              </c:extLst>
            </c:dLbl>
            <c:dLbl>
              <c:idx val="1"/>
              <c:layout>
                <c:manualLayout>
                  <c:x val="3.0068120866743177E-2"/>
                  <c:y val="1.38888888888888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FD-4EBD-BA6A-FCF4DCC262A3}"/>
                </c:ext>
              </c:extLst>
            </c:dLbl>
            <c:dLbl>
              <c:idx val="2"/>
              <c:layout>
                <c:manualLayout>
                  <c:x val="3.0068120866743108E-2"/>
                  <c:y val="-4.62962962962962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FD-4EBD-BA6A-FCF4DCC262A3}"/>
                </c:ext>
              </c:extLst>
            </c:dLbl>
            <c:dLbl>
              <c:idx val="3"/>
              <c:layout>
                <c:manualLayout>
                  <c:x val="3.0068120866743177E-2"/>
                  <c:y val="-9.259259259259343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FD-4EBD-BA6A-FCF4DCC262A3}"/>
                </c:ext>
              </c:extLst>
            </c:dLbl>
            <c:dLbl>
              <c:idx val="4"/>
              <c:layout>
                <c:manualLayout>
                  <c:x val="2.818886331257173E-2"/>
                  <c:y val="9.25925925925925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FD-4EBD-BA6A-FCF4DCC262A3}"/>
                </c:ext>
              </c:extLst>
            </c:dLbl>
            <c:dLbl>
              <c:idx val="5"/>
              <c:layout>
                <c:manualLayout>
                  <c:x val="2.255109065005738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FD-4EBD-BA6A-FCF4DCC262A3}"/>
                </c:ext>
              </c:extLst>
            </c:dLbl>
            <c:dLbl>
              <c:idx val="6"/>
              <c:layout>
                <c:manualLayout>
                  <c:x val="2.630960575840028E-2"/>
                  <c:y val="4.62962962962954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FD-4EBD-BA6A-FCF4DCC262A3}"/>
                </c:ext>
              </c:extLst>
            </c:dLbl>
            <c:dLbl>
              <c:idx val="9"/>
              <c:layout>
                <c:manualLayout>
                  <c:x val="1.528662420382153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4-40E6-99D1-F5C288957B98}"/>
                </c:ext>
              </c:extLst>
            </c:dLbl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'9)PIL_din_proced_vide_ES_skaits'!$I$38:$I$53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'9)PIL_din_proced_vide_ES_skaits'!$J$38:$J$53</c:f>
              <c:numCache>
                <c:formatCode>0.0%</c:formatCode>
                <c:ptCount val="16"/>
                <c:pt idx="0">
                  <c:v>8.0100125156445559E-2</c:v>
                </c:pt>
                <c:pt idx="1">
                  <c:v>7.7212806026365349E-2</c:v>
                </c:pt>
                <c:pt idx="2">
                  <c:v>0.10129096325719961</c:v>
                </c:pt>
                <c:pt idx="3">
                  <c:v>9.1503267973856203E-2</c:v>
                </c:pt>
                <c:pt idx="4">
                  <c:v>0.13200000000000001</c:v>
                </c:pt>
                <c:pt idx="5">
                  <c:v>0.13288718929254303</c:v>
                </c:pt>
                <c:pt idx="6">
                  <c:v>0.16615384615384615</c:v>
                </c:pt>
                <c:pt idx="7">
                  <c:v>0.14037267080745341</c:v>
                </c:pt>
                <c:pt idx="8">
                  <c:v>0.13755158184319119</c:v>
                </c:pt>
                <c:pt idx="9">
                  <c:v>0.12658227848101267</c:v>
                </c:pt>
                <c:pt idx="10">
                  <c:v>0.18069584736251404</c:v>
                </c:pt>
                <c:pt idx="11">
                  <c:v>0.1476510067114094</c:v>
                </c:pt>
                <c:pt idx="12">
                  <c:v>8.6461888509670085E-2</c:v>
                </c:pt>
                <c:pt idx="13">
                  <c:v>0.11061151079136691</c:v>
                </c:pt>
                <c:pt idx="14">
                  <c:v>0.12930374904361133</c:v>
                </c:pt>
                <c:pt idx="15">
                  <c:v>0.16197718631178706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FD-4EBD-BA6A-FCF4DCC262A3}"/>
            </c:ext>
          </c:extLst>
        </c:ser>
        <c:ser>
          <c:idx val="1"/>
          <c:order val="1"/>
          <c:tx>
            <c:strRef>
              <c:f>'9)PIL_din_proced_vide_ES_skaits'!$K$37</c:f>
              <c:strCache>
                <c:ptCount val="1"/>
                <c:pt idx="0">
                  <c:v>ES fondu līdzfinansējums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2.0382165605095415E-2"/>
                  <c:y val="-3.70370370370371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9-4218-A07F-CE05AB790334}"/>
                </c:ext>
              </c:extLst>
            </c:dLbl>
            <c:dLbl>
              <c:idx val="9"/>
              <c:layout>
                <c:manualLayout>
                  <c:x val="1.3588110403397028E-2"/>
                  <c:y val="-1.38888888888888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74-40E6-99D1-F5C288957B98}"/>
                </c:ext>
              </c:extLst>
            </c:dLbl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'9)PIL_din_proced_vide_ES_skaits'!$I$38:$I$53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'9)PIL_din_proced_vide_ES_skaits'!$K$38:$K$53</c:f>
              <c:numCache>
                <c:formatCode>0.0%</c:formatCode>
                <c:ptCount val="16"/>
                <c:pt idx="0">
                  <c:v>0.25406758448060074</c:v>
                </c:pt>
                <c:pt idx="1">
                  <c:v>0.25235404896421848</c:v>
                </c:pt>
                <c:pt idx="2">
                  <c:v>0.24528301886792453</c:v>
                </c:pt>
                <c:pt idx="3">
                  <c:v>0.19063180827886711</c:v>
                </c:pt>
                <c:pt idx="4">
                  <c:v>0.25600000000000001</c:v>
                </c:pt>
                <c:pt idx="5">
                  <c:v>0.1959847036328872</c:v>
                </c:pt>
                <c:pt idx="6">
                  <c:v>0.20410256410256411</c:v>
                </c:pt>
                <c:pt idx="7">
                  <c:v>0.11677018633540373</c:v>
                </c:pt>
                <c:pt idx="8">
                  <c:v>7.0151306740027508E-2</c:v>
                </c:pt>
                <c:pt idx="9">
                  <c:v>8.9662447257383968E-2</c:v>
                </c:pt>
                <c:pt idx="10">
                  <c:v>0.1122334455667789</c:v>
                </c:pt>
                <c:pt idx="11">
                  <c:v>0.13534675615212527</c:v>
                </c:pt>
                <c:pt idx="12">
                  <c:v>0.11717861205915814</c:v>
                </c:pt>
                <c:pt idx="13">
                  <c:v>0.13758992805755396</c:v>
                </c:pt>
                <c:pt idx="14">
                  <c:v>5.891354246365723E-2</c:v>
                </c:pt>
                <c:pt idx="15">
                  <c:v>1.9011406844106463E-2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FD-4EBD-BA6A-FCF4DCC262A3}"/>
            </c:ext>
          </c:extLst>
        </c:ser>
        <c:ser>
          <c:idx val="2"/>
          <c:order val="2"/>
          <c:tx>
            <c:strRef>
              <c:f>'9)PIL_din_proced_vide_ES_skaits'!$L$37</c:f>
              <c:strCache>
                <c:ptCount val="1"/>
                <c:pt idx="0">
                  <c:v>Pārējie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'9)PIL_din_proced_vide_ES_skaits'!$I$38:$I$53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'9)PIL_din_proced_vide_ES_skaits'!$L$38:$L$53</c:f>
              <c:numCache>
                <c:formatCode>0.0%</c:formatCode>
                <c:ptCount val="16"/>
                <c:pt idx="0">
                  <c:v>0.66583229036295366</c:v>
                </c:pt>
                <c:pt idx="1">
                  <c:v>0.6704331450094162</c:v>
                </c:pt>
                <c:pt idx="2">
                  <c:v>0.65342601787487586</c:v>
                </c:pt>
                <c:pt idx="3">
                  <c:v>0.71786492374727673</c:v>
                </c:pt>
                <c:pt idx="4">
                  <c:v>0.61199999999999999</c:v>
                </c:pt>
                <c:pt idx="5">
                  <c:v>0.67112810707456982</c:v>
                </c:pt>
                <c:pt idx="6">
                  <c:v>0.62974358974358979</c:v>
                </c:pt>
                <c:pt idx="7">
                  <c:v>0.74285714285714288</c:v>
                </c:pt>
                <c:pt idx="8">
                  <c:v>0.79229711141678127</c:v>
                </c:pt>
                <c:pt idx="9">
                  <c:v>0.78375527426160341</c:v>
                </c:pt>
                <c:pt idx="10">
                  <c:v>0.70707070707070707</c:v>
                </c:pt>
                <c:pt idx="11">
                  <c:v>0.71700223713646527</c:v>
                </c:pt>
                <c:pt idx="12">
                  <c:v>0.79635949943117179</c:v>
                </c:pt>
                <c:pt idx="13">
                  <c:v>0.75179856115107913</c:v>
                </c:pt>
                <c:pt idx="14">
                  <c:v>0.81178270849273149</c:v>
                </c:pt>
                <c:pt idx="15">
                  <c:v>0.81901140684410645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FD-4EBD-BA6A-FCF4DCC26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136912"/>
        <c:axId val="191135736"/>
      </c:barChart>
      <c:catAx>
        <c:axId val="19113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1135736"/>
        <c:crosses val="autoZero"/>
        <c:auto val="1"/>
        <c:lblAlgn val="ctr"/>
        <c:lblOffset val="100"/>
        <c:noMultiLvlLbl val="0"/>
      </c:catAx>
      <c:valAx>
        <c:axId val="191135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113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'10)PIL_din_proced_vide_ES_summa'!$J$39</c:f>
              <c:strCache>
                <c:ptCount val="1"/>
                <c:pt idx="0">
                  <c:v>Vides prasības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164021164021149E-2"/>
                  <c:y val="-1.60401027829578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A0-4DD7-9576-8233C4C2736F}"/>
                </c:ext>
              </c:extLst>
            </c:dLbl>
            <c:dLbl>
              <c:idx val="1"/>
              <c:layout>
                <c:manualLayout>
                  <c:x val="2.1164021164021163E-2"/>
                  <c:y val="-1.20300770872183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A0-4DD7-9576-8233C4C2736F}"/>
                </c:ext>
              </c:extLst>
            </c:dLbl>
            <c:dLbl>
              <c:idx val="2"/>
              <c:layout>
                <c:manualLayout>
                  <c:x val="1.7636684303350969E-2"/>
                  <c:y val="-4.01002569573953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A0-4DD7-9576-8233C4C2736F}"/>
                </c:ext>
              </c:extLst>
            </c:dLbl>
            <c:dLbl>
              <c:idx val="3"/>
              <c:layout>
                <c:manualLayout>
                  <c:x val="1.9400352733685938E-2"/>
                  <c:y val="-4.01002569573953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A0-4DD7-9576-8233C4C2736F}"/>
                </c:ext>
              </c:extLst>
            </c:dLbl>
            <c:dLbl>
              <c:idx val="5"/>
              <c:layout>
                <c:manualLayout>
                  <c:x val="2.4691358024691228E-2"/>
                  <c:y val="-7.351628848878538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A0-4DD7-9576-8233C4C2736F}"/>
                </c:ext>
              </c:extLst>
            </c:dLbl>
            <c:dLbl>
              <c:idx val="6"/>
              <c:layout>
                <c:manualLayout>
                  <c:x val="2.6455026455026197E-2"/>
                  <c:y val="1.60401027829578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A0-4DD7-9576-8233C4C2736F}"/>
                </c:ext>
              </c:extLst>
            </c:dLbl>
            <c:dLbl>
              <c:idx val="8"/>
              <c:layout>
                <c:manualLayout>
                  <c:x val="2.4432809773123908E-2"/>
                  <c:y val="-1.15273775216138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3C-456E-9E0F-35F51AE1C6B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'10)PIL_din_proced_vide_ES_summa'!$I$40:$I$55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'10)PIL_din_proced_vide_ES_summa'!$J$40:$J$55</c:f>
              <c:numCache>
                <c:formatCode>0.0%</c:formatCode>
                <c:ptCount val="16"/>
                <c:pt idx="0">
                  <c:v>9.3778001526318627E-2</c:v>
                </c:pt>
                <c:pt idx="1">
                  <c:v>0.15353515070737681</c:v>
                </c:pt>
                <c:pt idx="2">
                  <c:v>0.12332651449822404</c:v>
                </c:pt>
                <c:pt idx="3">
                  <c:v>0.10604837709860802</c:v>
                </c:pt>
                <c:pt idx="4">
                  <c:v>0.31691994753054015</c:v>
                </c:pt>
                <c:pt idx="5">
                  <c:v>0.13189826278262223</c:v>
                </c:pt>
                <c:pt idx="6">
                  <c:v>0.177578366906394</c:v>
                </c:pt>
                <c:pt idx="7">
                  <c:v>0.19562665194035445</c:v>
                </c:pt>
                <c:pt idx="8">
                  <c:v>0.10249122806994396</c:v>
                </c:pt>
                <c:pt idx="9">
                  <c:v>0.10898731382154796</c:v>
                </c:pt>
                <c:pt idx="10">
                  <c:v>0.18887435784776074</c:v>
                </c:pt>
                <c:pt idx="11">
                  <c:v>0.15906556679287992</c:v>
                </c:pt>
                <c:pt idx="12">
                  <c:v>0.11230650839351158</c:v>
                </c:pt>
                <c:pt idx="13">
                  <c:v>9.3595302134699909E-2</c:v>
                </c:pt>
                <c:pt idx="14">
                  <c:v>9.7152455270756055E-2</c:v>
                </c:pt>
                <c:pt idx="15">
                  <c:v>0.22801517359142773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A0-4DD7-9576-8233C4C2736F}"/>
            </c:ext>
          </c:extLst>
        </c:ser>
        <c:ser>
          <c:idx val="1"/>
          <c:order val="1"/>
          <c:tx>
            <c:strRef>
              <c:f>'10)PIL_din_proced_vide_ES_summa'!$K$39</c:f>
              <c:strCache>
                <c:ptCount val="1"/>
                <c:pt idx="0">
                  <c:v>ES fondu līdzfinansējums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'10)PIL_din_proced_vide_ES_summa'!$I$40:$I$55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'10)PIL_din_proced_vide_ES_summa'!$K$40:$K$55</c:f>
              <c:numCache>
                <c:formatCode>0.0%</c:formatCode>
                <c:ptCount val="16"/>
                <c:pt idx="0">
                  <c:v>0.34891370642084168</c:v>
                </c:pt>
                <c:pt idx="1">
                  <c:v>0.3545961242471416</c:v>
                </c:pt>
                <c:pt idx="2">
                  <c:v>0.30138902335894902</c:v>
                </c:pt>
                <c:pt idx="3">
                  <c:v>0.24992536036901292</c:v>
                </c:pt>
                <c:pt idx="4">
                  <c:v>0.25580510040825516</c:v>
                </c:pt>
                <c:pt idx="5">
                  <c:v>0.20442300273807429</c:v>
                </c:pt>
                <c:pt idx="6">
                  <c:v>0.11008739718502882</c:v>
                </c:pt>
                <c:pt idx="7">
                  <c:v>0.12235015112330838</c:v>
                </c:pt>
                <c:pt idx="8">
                  <c:v>0.21468607566492628</c:v>
                </c:pt>
                <c:pt idx="9">
                  <c:v>0.25313181176618832</c:v>
                </c:pt>
                <c:pt idx="10">
                  <c:v>0.15273773708421037</c:v>
                </c:pt>
                <c:pt idx="11">
                  <c:v>0.31887097274703924</c:v>
                </c:pt>
                <c:pt idx="12">
                  <c:v>0.26694909121824767</c:v>
                </c:pt>
                <c:pt idx="13">
                  <c:v>0.28671319448288818</c:v>
                </c:pt>
                <c:pt idx="14">
                  <c:v>0.14852198961065863</c:v>
                </c:pt>
                <c:pt idx="15">
                  <c:v>0.21229988044944298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A0-4DD7-9576-8233C4C2736F}"/>
            </c:ext>
          </c:extLst>
        </c:ser>
        <c:ser>
          <c:idx val="2"/>
          <c:order val="2"/>
          <c:tx>
            <c:strRef>
              <c:f>'10)PIL_din_proced_vide_ES_summa'!$L$39</c:f>
              <c:strCache>
                <c:ptCount val="1"/>
                <c:pt idx="0">
                  <c:v>Pārējie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2933419081163168E-16"/>
                  <c:y val="-1.60401027829578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A0-4DD7-9576-8233C4C2736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'10)PIL_din_proced_vide_ES_summa'!$I$40:$I$55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'10)PIL_din_proced_vide_ES_summa'!$L$40:$L$55</c:f>
              <c:numCache>
                <c:formatCode>0.0%</c:formatCode>
                <c:ptCount val="16"/>
                <c:pt idx="0">
                  <c:v>0.55730829205283972</c:v>
                </c:pt>
                <c:pt idx="1">
                  <c:v>0.49186872504548157</c:v>
                </c:pt>
                <c:pt idx="2">
                  <c:v>0.57528446214282691</c:v>
                </c:pt>
                <c:pt idx="3">
                  <c:v>0.64402626253237905</c:v>
                </c:pt>
                <c:pt idx="4">
                  <c:v>0.42727495206120464</c:v>
                </c:pt>
                <c:pt idx="5">
                  <c:v>0.66367873447930348</c:v>
                </c:pt>
                <c:pt idx="6">
                  <c:v>0.71233423590857725</c:v>
                </c:pt>
                <c:pt idx="7">
                  <c:v>0.68202319693633717</c:v>
                </c:pt>
                <c:pt idx="8">
                  <c:v>0.6828226962651297</c:v>
                </c:pt>
                <c:pt idx="9">
                  <c:v>0.63788087441226371</c:v>
                </c:pt>
                <c:pt idx="10">
                  <c:v>0.65838790506802891</c:v>
                </c:pt>
                <c:pt idx="11">
                  <c:v>0.5220634604600809</c:v>
                </c:pt>
                <c:pt idx="12">
                  <c:v>0.62074440038824075</c:v>
                </c:pt>
                <c:pt idx="13">
                  <c:v>0.61969150338241197</c:v>
                </c:pt>
                <c:pt idx="14">
                  <c:v>0.75432555511858534</c:v>
                </c:pt>
                <c:pt idx="15">
                  <c:v>0.55968494595912932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A0-4DD7-9576-8233C4C273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2356552"/>
        <c:axId val="192351848"/>
      </c:barChart>
      <c:catAx>
        <c:axId val="19235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2351848"/>
        <c:crosses val="autoZero"/>
        <c:auto val="1"/>
        <c:lblAlgn val="ctr"/>
        <c:lblOffset val="100"/>
        <c:noMultiLvlLbl val="0"/>
      </c:catAx>
      <c:valAx>
        <c:axId val="19235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2356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24777007339205E-2"/>
          <c:y val="4.7986289631533847E-2"/>
          <c:w val="0.81113238428899692"/>
          <c:h val="0.80437571267601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'12)_PIL_din_9_p'!$F$41</c:f>
              <c:strCache>
                <c:ptCount val="1"/>
                <c:pt idx="0">
                  <c:v>Rezultātu paziņojumu skaits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'12)_PIL_din_9_p'!$E$42:$E$57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'12)_PIL_din_9_p'!$F$42:$F$57</c:f>
              <c:numCache>
                <c:formatCode>General</c:formatCode>
                <c:ptCount val="16"/>
                <c:pt idx="0">
                  <c:v>2309</c:v>
                </c:pt>
                <c:pt idx="1">
                  <c:v>2968</c:v>
                </c:pt>
                <c:pt idx="2">
                  <c:v>3070</c:v>
                </c:pt>
                <c:pt idx="3">
                  <c:v>2941</c:v>
                </c:pt>
                <c:pt idx="4">
                  <c:v>2616</c:v>
                </c:pt>
                <c:pt idx="5">
                  <c:v>3281</c:v>
                </c:pt>
                <c:pt idx="6">
                  <c:v>2934</c:v>
                </c:pt>
                <c:pt idx="7">
                  <c:v>3036</c:v>
                </c:pt>
                <c:pt idx="8">
                  <c:v>2431</c:v>
                </c:pt>
                <c:pt idx="9">
                  <c:v>3292</c:v>
                </c:pt>
                <c:pt idx="10">
                  <c:v>3074</c:v>
                </c:pt>
                <c:pt idx="11">
                  <c:v>3196</c:v>
                </c:pt>
                <c:pt idx="12">
                  <c:v>2532</c:v>
                </c:pt>
                <c:pt idx="13">
                  <c:v>1947</c:v>
                </c:pt>
                <c:pt idx="14">
                  <c:v>1837</c:v>
                </c:pt>
                <c:pt idx="15">
                  <c:v>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4-403C-A514-0D46D2EF4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352240"/>
        <c:axId val="192354200"/>
      </c:barChart>
      <c:lineChart>
        <c:grouping val="standard"/>
        <c:varyColors val="0"/>
        <c:ser>
          <c:idx val="1"/>
          <c:order val="1"/>
          <c:tx>
            <c:strRef>
              <c:f>'12)_PIL_din_9_p'!$G$41</c:f>
              <c:strCache>
                <c:ptCount val="1"/>
                <c:pt idx="0">
                  <c:v>Apjoms (milj.eiro)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'12)_PIL_din_9_p'!$E$42:$E$57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'12)_PIL_din_9_p'!$G$42:$G$57</c:f>
              <c:numCache>
                <c:formatCode>#\ ##0.0</c:formatCode>
                <c:ptCount val="16"/>
                <c:pt idx="0">
                  <c:v>48</c:v>
                </c:pt>
                <c:pt idx="1">
                  <c:v>66.599999999999994</c:v>
                </c:pt>
                <c:pt idx="2">
                  <c:v>76</c:v>
                </c:pt>
                <c:pt idx="3">
                  <c:v>62.5</c:v>
                </c:pt>
                <c:pt idx="4">
                  <c:v>52.6</c:v>
                </c:pt>
                <c:pt idx="5">
                  <c:v>72.400000000000006</c:v>
                </c:pt>
                <c:pt idx="6">
                  <c:v>68.3</c:v>
                </c:pt>
                <c:pt idx="7">
                  <c:v>58.3</c:v>
                </c:pt>
                <c:pt idx="8">
                  <c:v>48.2</c:v>
                </c:pt>
                <c:pt idx="9">
                  <c:v>78.7</c:v>
                </c:pt>
                <c:pt idx="10">
                  <c:v>73.8</c:v>
                </c:pt>
                <c:pt idx="11">
                  <c:v>66.099999999999994</c:v>
                </c:pt>
                <c:pt idx="12">
                  <c:v>58.362986999999997</c:v>
                </c:pt>
                <c:pt idx="13">
                  <c:v>61.9</c:v>
                </c:pt>
                <c:pt idx="14">
                  <c:v>56.7</c:v>
                </c:pt>
                <c:pt idx="15">
                  <c:v>48.244079999999997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4-403C-A514-0D46D2EF4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4592"/>
        <c:axId val="192353416"/>
      </c:lineChart>
      <c:catAx>
        <c:axId val="19235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2354200"/>
        <c:crosses val="autoZero"/>
        <c:auto val="1"/>
        <c:lblAlgn val="ctr"/>
        <c:lblOffset val="100"/>
        <c:noMultiLvlLbl val="0"/>
      </c:catAx>
      <c:valAx>
        <c:axId val="19235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Rezultātu</a:t>
                </a:r>
                <a:r>
                  <a:rPr lang="lv-LV" baseline="0"/>
                  <a:t> paziņojumu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2352240"/>
        <c:crosses val="autoZero"/>
        <c:crossBetween val="between"/>
      </c:valAx>
      <c:valAx>
        <c:axId val="192353416"/>
        <c:scaling>
          <c:orientation val="minMax"/>
          <c:max val="35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Apjoms</a:t>
                </a:r>
                <a:r>
                  <a:rPr lang="lv-LV" baseline="0"/>
                  <a:t> (milj.eiro)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2354592"/>
        <c:crosses val="max"/>
        <c:crossBetween val="between"/>
      </c:valAx>
      <c:catAx>
        <c:axId val="19235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35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'13)_PIL_din_9_vide_ES_skaits'!$J$40</c:f>
              <c:strCache>
                <c:ptCount val="1"/>
                <c:pt idx="0">
                  <c:v>Vides prasības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452507371181304E-2"/>
                  <c:y val="-2.77777777777778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17-470F-8ECD-98248DBA4582}"/>
                </c:ext>
              </c:extLst>
            </c:dLbl>
            <c:dLbl>
              <c:idx val="1"/>
              <c:layout>
                <c:manualLayout>
                  <c:x val="-3.454231903258663E-2"/>
                  <c:y val="-9.259259259259173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17-470F-8ECD-98248DBA4582}"/>
                </c:ext>
              </c:extLst>
            </c:dLbl>
            <c:dLbl>
              <c:idx val="2"/>
              <c:layout>
                <c:manualLayout>
                  <c:x val="-2.5906739274439948E-2"/>
                  <c:y val="-2.31481481481481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17-470F-8ECD-98248DBA4582}"/>
                </c:ext>
              </c:extLst>
            </c:dLbl>
            <c:dLbl>
              <c:idx val="3"/>
              <c:layout>
                <c:manualLayout>
                  <c:x val="-2.5906739274439948E-2"/>
                  <c:y val="-1.8518518518518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17-470F-8ECD-98248DBA4582}"/>
                </c:ext>
              </c:extLst>
            </c:dLbl>
            <c:dLbl>
              <c:idx val="4"/>
              <c:layout>
                <c:manualLayout>
                  <c:x val="-2.7633855226069405E-2"/>
                  <c:y val="-1.38888888888888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17-470F-8ECD-98248DBA4582}"/>
                </c:ext>
              </c:extLst>
            </c:dLbl>
            <c:dLbl>
              <c:idx val="5"/>
              <c:layout>
                <c:manualLayout>
                  <c:x val="-3.1088087129327938E-2"/>
                  <c:y val="-1.8518518518518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17-470F-8ECD-98248DBA4582}"/>
                </c:ext>
              </c:extLst>
            </c:dLbl>
            <c:dLbl>
              <c:idx val="6"/>
              <c:layout>
                <c:manualLayout>
                  <c:x val="-2.4179623322810744E-2"/>
                  <c:y val="-2.77777777777778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17-470F-8ECD-98248DBA4582}"/>
                </c:ext>
              </c:extLst>
            </c:dLbl>
            <c:dLbl>
              <c:idx val="7"/>
              <c:layout>
                <c:manualLayout>
                  <c:x val="-2.763385522606940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7D-4DC4-8D4A-64A90D6A2DA7}"/>
                </c:ext>
              </c:extLst>
            </c:dLbl>
            <c:dLbl>
              <c:idx val="8"/>
              <c:layout>
                <c:manualLayout>
                  <c:x val="3.108808712932781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21-4356-9B84-D353491F4854}"/>
                </c:ext>
              </c:extLst>
            </c:dLbl>
            <c:dLbl>
              <c:idx val="9"/>
              <c:layout>
                <c:manualLayout>
                  <c:x val="1.036269570977597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F-48FB-8F08-9FC03916F5F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'13)_PIL_din_9_vide_ES_skaits'!$I$41:$I$56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'13)_PIL_din_9_vide_ES_skaits'!$J$41:$J$56</c:f>
              <c:numCache>
                <c:formatCode>0.0%</c:formatCode>
                <c:ptCount val="16"/>
                <c:pt idx="0">
                  <c:v>2.3386747509744479E-2</c:v>
                </c:pt>
                <c:pt idx="1">
                  <c:v>3.5377358490566037E-2</c:v>
                </c:pt>
                <c:pt idx="2">
                  <c:v>3.2573289902280131E-2</c:v>
                </c:pt>
                <c:pt idx="3">
                  <c:v>2.1421285277116626E-2</c:v>
                </c:pt>
                <c:pt idx="4">
                  <c:v>2.5229357798165139E-2</c:v>
                </c:pt>
                <c:pt idx="5">
                  <c:v>3.7793355684242608E-2</c:v>
                </c:pt>
                <c:pt idx="6">
                  <c:v>2.8289025221540559E-2</c:v>
                </c:pt>
                <c:pt idx="7">
                  <c:v>2.9973649538866932E-2</c:v>
                </c:pt>
                <c:pt idx="8">
                  <c:v>3.331962155491567E-2</c:v>
                </c:pt>
                <c:pt idx="9">
                  <c:v>3.9793438639125149E-2</c:v>
                </c:pt>
                <c:pt idx="10">
                  <c:v>3.2530904359141181E-2</c:v>
                </c:pt>
                <c:pt idx="11">
                  <c:v>2.6908635794743431E-2</c:v>
                </c:pt>
                <c:pt idx="12">
                  <c:v>2.7646129541864139E-2</c:v>
                </c:pt>
                <c:pt idx="13">
                  <c:v>3.133025166923472E-2</c:v>
                </c:pt>
                <c:pt idx="14">
                  <c:v>4.0283070223189985E-2</c:v>
                </c:pt>
                <c:pt idx="15">
                  <c:v>4.8984468339307051E-2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17-470F-8ECD-98248DBA4582}"/>
            </c:ext>
          </c:extLst>
        </c:ser>
        <c:ser>
          <c:idx val="1"/>
          <c:order val="1"/>
          <c:tx>
            <c:strRef>
              <c:f>'13)_PIL_din_9_vide_ES_skaits'!$K$40</c:f>
              <c:strCache>
                <c:ptCount val="1"/>
                <c:pt idx="0">
                  <c:v>ES fondu līdzfinansējums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25391419551945E-2"/>
                  <c:y val="-4.62962962962962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17-470F-8ECD-98248DBA4582}"/>
                </c:ext>
              </c:extLst>
            </c:dLbl>
            <c:dLbl>
              <c:idx val="1"/>
              <c:layout>
                <c:manualLayout>
                  <c:x val="3.1088087129327938E-2"/>
                  <c:y val="-6.01851851851851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17-470F-8ECD-98248DBA4582}"/>
                </c:ext>
              </c:extLst>
            </c:dLbl>
            <c:dLbl>
              <c:idx val="2"/>
              <c:layout>
                <c:manualLayout>
                  <c:x val="3.1088087129327938E-2"/>
                  <c:y val="-4.16666666666666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17-470F-8ECD-98248DBA4582}"/>
                </c:ext>
              </c:extLst>
            </c:dLbl>
            <c:dLbl>
              <c:idx val="3"/>
              <c:layout>
                <c:manualLayout>
                  <c:x val="3.972366688747446E-2"/>
                  <c:y val="-3.70370370370370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17-470F-8ECD-98248DBA4582}"/>
                </c:ext>
              </c:extLst>
            </c:dLbl>
            <c:dLbl>
              <c:idx val="4"/>
              <c:layout>
                <c:manualLayout>
                  <c:x val="3.1088087129327938E-2"/>
                  <c:y val="-2.77777777777777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17-470F-8ECD-98248DBA4582}"/>
                </c:ext>
              </c:extLst>
            </c:dLbl>
            <c:dLbl>
              <c:idx val="5"/>
              <c:layout>
                <c:manualLayout>
                  <c:x val="3.4542319032586595E-2"/>
                  <c:y val="-3.2407407407407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17-470F-8ECD-98248DBA4582}"/>
                </c:ext>
              </c:extLst>
            </c:dLbl>
            <c:dLbl>
              <c:idx val="6"/>
              <c:layout>
                <c:manualLayout>
                  <c:x val="3.2815203080957145E-2"/>
                  <c:y val="-5.09259259259259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17-470F-8ECD-98248DBA4582}"/>
                </c:ext>
              </c:extLst>
            </c:dLbl>
            <c:dLbl>
              <c:idx val="7"/>
              <c:layout>
                <c:manualLayout>
                  <c:x val="3.454231903258533E-3"/>
                  <c:y val="-3.57675055810451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7D-4DC4-8D4A-64A90D6A2DA7}"/>
                </c:ext>
              </c:extLst>
            </c:dLbl>
            <c:dLbl>
              <c:idx val="8"/>
              <c:layout>
                <c:manualLayout>
                  <c:x val="1.5544043564663842E-2"/>
                  <c:y val="-4.76900074413935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21-4356-9B84-D353491F4854}"/>
                </c:ext>
              </c:extLst>
            </c:dLbl>
            <c:dLbl>
              <c:idx val="9"/>
              <c:layout>
                <c:manualLayout>
                  <c:x val="2.0725391419551958E-2"/>
                  <c:y val="-4.76900074413935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F-48FB-8F08-9FC03916F5F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'13)_PIL_din_9_vide_ES_skaits'!$I$41:$I$56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'13)_PIL_din_9_vide_ES_skaits'!$K$41:$K$56</c:f>
              <c:numCache>
                <c:formatCode>0.0%</c:formatCode>
                <c:ptCount val="16"/>
                <c:pt idx="0">
                  <c:v>0.13858813339107839</c:v>
                </c:pt>
                <c:pt idx="1">
                  <c:v>0.13915094339622641</c:v>
                </c:pt>
                <c:pt idx="2">
                  <c:v>0.13387622149837133</c:v>
                </c:pt>
                <c:pt idx="3">
                  <c:v>0.10030601836110166</c:v>
                </c:pt>
                <c:pt idx="4">
                  <c:v>0.11467889908256881</c:v>
                </c:pt>
                <c:pt idx="5">
                  <c:v>9.2654678451691563E-2</c:v>
                </c:pt>
                <c:pt idx="6">
                  <c:v>7.5664621676891614E-2</c:v>
                </c:pt>
                <c:pt idx="7">
                  <c:v>7.7075098814229248E-2</c:v>
                </c:pt>
                <c:pt idx="8">
                  <c:v>5.6766762649115593E-2</c:v>
                </c:pt>
                <c:pt idx="9">
                  <c:v>6.6524908869987853E-2</c:v>
                </c:pt>
                <c:pt idx="10">
                  <c:v>7.6122316200390366E-2</c:v>
                </c:pt>
                <c:pt idx="11">
                  <c:v>9.9499374217772218E-2</c:v>
                </c:pt>
                <c:pt idx="12">
                  <c:v>0.11927330173775672</c:v>
                </c:pt>
                <c:pt idx="13">
                  <c:v>0.13662044170518747</c:v>
                </c:pt>
                <c:pt idx="14">
                  <c:v>0.16439847577572128</c:v>
                </c:pt>
                <c:pt idx="15">
                  <c:v>0.12126642771804062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D17-470F-8ECD-98248DBA4582}"/>
            </c:ext>
          </c:extLst>
        </c:ser>
        <c:ser>
          <c:idx val="2"/>
          <c:order val="2"/>
          <c:tx>
            <c:strRef>
              <c:f>'13)_PIL_din_9_vide_ES_skaits'!$L$40</c:f>
              <c:strCache>
                <c:ptCount val="1"/>
                <c:pt idx="0">
                  <c:v>Pārējie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'13)_PIL_din_9_vide_ES_skaits'!$I$41:$I$56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'13)_PIL_din_9_vide_ES_skaits'!$L$41:$L$56</c:f>
              <c:numCache>
                <c:formatCode>0.0%</c:formatCode>
                <c:ptCount val="16"/>
                <c:pt idx="0">
                  <c:v>0.8380251190991771</c:v>
                </c:pt>
                <c:pt idx="1">
                  <c:v>0.82547169811320753</c:v>
                </c:pt>
                <c:pt idx="2">
                  <c:v>0.83355048859934855</c:v>
                </c:pt>
                <c:pt idx="3">
                  <c:v>0.87827269636178174</c:v>
                </c:pt>
                <c:pt idx="4">
                  <c:v>0.86009174311926606</c:v>
                </c:pt>
                <c:pt idx="5">
                  <c:v>0.8695519658640658</c:v>
                </c:pt>
                <c:pt idx="6">
                  <c:v>0.89604635310156777</c:v>
                </c:pt>
                <c:pt idx="7">
                  <c:v>0.89295125164690381</c:v>
                </c:pt>
                <c:pt idx="8">
                  <c:v>0.90991361579596874</c:v>
                </c:pt>
                <c:pt idx="9">
                  <c:v>0.89368165249088705</c:v>
                </c:pt>
                <c:pt idx="10">
                  <c:v>0.89134677944046847</c:v>
                </c:pt>
                <c:pt idx="11">
                  <c:v>0.87359198998748433</c:v>
                </c:pt>
                <c:pt idx="12">
                  <c:v>0.85308056872037918</c:v>
                </c:pt>
                <c:pt idx="13">
                  <c:v>0.83204930662557786</c:v>
                </c:pt>
                <c:pt idx="14">
                  <c:v>0.79531845400108869</c:v>
                </c:pt>
                <c:pt idx="15">
                  <c:v>0.82974910394265233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D17-470F-8ECD-98248DBA45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2354984"/>
        <c:axId val="192356160"/>
      </c:barChart>
      <c:catAx>
        <c:axId val="192354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2356160"/>
        <c:crosses val="autoZero"/>
        <c:auto val="1"/>
        <c:lblAlgn val="ctr"/>
        <c:lblOffset val="100"/>
        <c:noMultiLvlLbl val="0"/>
      </c:catAx>
      <c:valAx>
        <c:axId val="192356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235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61682631349028E-2"/>
          <c:y val="7.8703703703703706E-2"/>
          <c:w val="0.90479167776558378"/>
          <c:h val="0.735771361913094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'14)_PIL_din_9_vide_ES_summa'!$J$40</c:f>
              <c:strCache>
                <c:ptCount val="1"/>
                <c:pt idx="0">
                  <c:v>Vides prasības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503566499406673E-2"/>
                  <c:y val="-4.096261500173527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54-4416-AD07-ECA0FADD60AC}"/>
                </c:ext>
              </c:extLst>
            </c:dLbl>
            <c:dLbl>
              <c:idx val="1"/>
              <c:layout>
                <c:manualLayout>
                  <c:x val="3.0087097971595936E-2"/>
                  <c:y val="-1.2288784500520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54-4416-AD07-ECA0FADD60AC}"/>
                </c:ext>
              </c:extLst>
            </c:dLbl>
            <c:dLbl>
              <c:idx val="2"/>
              <c:layout>
                <c:manualLayout>
                  <c:x val="2.692003502721741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54-4416-AD07-ECA0FADD60AC}"/>
                </c:ext>
              </c:extLst>
            </c:dLbl>
            <c:dLbl>
              <c:idx val="3"/>
              <c:layout>
                <c:manualLayout>
                  <c:x val="2.850356649940655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54-4416-AD07-ECA0FADD60AC}"/>
                </c:ext>
              </c:extLst>
            </c:dLbl>
            <c:dLbl>
              <c:idx val="4"/>
              <c:layout>
                <c:manualLayout>
                  <c:x val="2.0585909138460375E-2"/>
                  <c:y val="-4.096261500173527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54-4416-AD07-ECA0FADD60AC}"/>
                </c:ext>
              </c:extLst>
            </c:dLbl>
            <c:dLbl>
              <c:idx val="5"/>
              <c:layout>
                <c:manualLayout>
                  <c:x val="2.8503566499406673E-2"/>
                  <c:y val="4.096261500173527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54-4416-AD07-ECA0FADD60AC}"/>
                </c:ext>
              </c:extLst>
            </c:dLbl>
            <c:dLbl>
              <c:idx val="6"/>
              <c:layout>
                <c:manualLayout>
                  <c:x val="3.1670629443785077E-2"/>
                  <c:y val="-8.19252300034705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54-4416-AD07-ECA0FADD60AC}"/>
                </c:ext>
              </c:extLst>
            </c:dLbl>
            <c:dLbl>
              <c:idx val="7"/>
              <c:layout>
                <c:manualLayout>
                  <c:x val="1.5835314721892597E-2"/>
                  <c:y val="-1.5019451994645163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56-42DA-A191-4F8525005B5B}"/>
                </c:ext>
              </c:extLst>
            </c:dLbl>
            <c:dLbl>
              <c:idx val="8"/>
              <c:layout>
                <c:manualLayout>
                  <c:x val="2.1284685178197697E-2"/>
                  <c:y val="-8.19252300034720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87-41FC-9D44-993E7967CC37}"/>
                </c:ext>
              </c:extLst>
            </c:dLbl>
            <c:dLbl>
              <c:idx val="9"/>
              <c:layout>
                <c:manualLayout>
                  <c:x val="3.1927027767296383E-2"/>
                  <c:y val="1.2288784500520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C-4767-95B9-0012CD998C6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'14)_PIL_din_9_vide_ES_summa'!$I$41:$I$56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'14)_PIL_din_9_vide_ES_summa'!$J$41:$J$56</c:f>
              <c:numCache>
                <c:formatCode>0.0%</c:formatCode>
                <c:ptCount val="16"/>
                <c:pt idx="0">
                  <c:v>2.9114291320038548E-2</c:v>
                </c:pt>
                <c:pt idx="1">
                  <c:v>5.5585465641908499E-2</c:v>
                </c:pt>
                <c:pt idx="2">
                  <c:v>5.5344871738002822E-2</c:v>
                </c:pt>
                <c:pt idx="3">
                  <c:v>2.9715334025388389E-2</c:v>
                </c:pt>
                <c:pt idx="4">
                  <c:v>4.3305248169576802E-2</c:v>
                </c:pt>
                <c:pt idx="5">
                  <c:v>5.0324424173791064E-2</c:v>
                </c:pt>
                <c:pt idx="6">
                  <c:v>4.3779110378012812E-2</c:v>
                </c:pt>
                <c:pt idx="7">
                  <c:v>4.38735040126884E-2</c:v>
                </c:pt>
                <c:pt idx="8">
                  <c:v>3.928368810152473E-2</c:v>
                </c:pt>
                <c:pt idx="9">
                  <c:v>5.3035404565583172E-2</c:v>
                </c:pt>
                <c:pt idx="10">
                  <c:v>4.6550811734227808E-2</c:v>
                </c:pt>
                <c:pt idx="11">
                  <c:v>3.5329760248913031E-2</c:v>
                </c:pt>
                <c:pt idx="12">
                  <c:v>3.6266152724499859E-2</c:v>
                </c:pt>
                <c:pt idx="13">
                  <c:v>2.1884605393299762E-2</c:v>
                </c:pt>
                <c:pt idx="14">
                  <c:v>4.0253872383367889E-2</c:v>
                </c:pt>
                <c:pt idx="15">
                  <c:v>5.2703668512281712E-2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54-4416-AD07-ECA0FADD60AC}"/>
            </c:ext>
          </c:extLst>
        </c:ser>
        <c:ser>
          <c:idx val="1"/>
          <c:order val="1"/>
          <c:tx>
            <c:strRef>
              <c:f>'14)_PIL_din_9_vide_ES_summa'!$K$40</c:f>
              <c:strCache>
                <c:ptCount val="1"/>
                <c:pt idx="0">
                  <c:v>ES fondu līdzfinansējums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2.3752972082838778E-2"/>
                  <c:y val="-1.228878450052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56-42DA-A191-4F8525005B5B}"/>
                </c:ext>
              </c:extLst>
            </c:dLbl>
            <c:dLbl>
              <c:idx val="8"/>
              <c:layout>
                <c:manualLayout>
                  <c:x val="2.2805019833783129E-2"/>
                  <c:y val="-4.91551380020823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7-41FC-9D44-993E7967CC37}"/>
                </c:ext>
              </c:extLst>
            </c:dLbl>
            <c:dLbl>
              <c:idx val="9"/>
              <c:layout>
                <c:manualLayout>
                  <c:x val="2.1284685178197475E-2"/>
                  <c:y val="-1.2288784500520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3C-4767-95B9-0012CD998C6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'14)_PIL_din_9_vide_ES_summa'!$I$41:$I$56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'14)_PIL_din_9_vide_ES_summa'!$K$41:$K$56</c:f>
              <c:numCache>
                <c:formatCode>0.0%</c:formatCode>
                <c:ptCount val="16"/>
                <c:pt idx="0">
                  <c:v>0.17478358799376167</c:v>
                </c:pt>
                <c:pt idx="1">
                  <c:v>0.14084885581188364</c:v>
                </c:pt>
                <c:pt idx="2">
                  <c:v>0.15157460507053436</c:v>
                </c:pt>
                <c:pt idx="3">
                  <c:v>0.11573740623513376</c:v>
                </c:pt>
                <c:pt idx="4">
                  <c:v>0.12625591568634495</c:v>
                </c:pt>
                <c:pt idx="5">
                  <c:v>0.10232286678422153</c:v>
                </c:pt>
                <c:pt idx="6">
                  <c:v>7.8755409916598393E-2</c:v>
                </c:pt>
                <c:pt idx="7">
                  <c:v>6.1960453714499132E-2</c:v>
                </c:pt>
                <c:pt idx="8">
                  <c:v>6.3742136974364885E-2</c:v>
                </c:pt>
                <c:pt idx="9">
                  <c:v>6.2321195266735276E-2</c:v>
                </c:pt>
                <c:pt idx="10">
                  <c:v>8.0077323852091584E-2</c:v>
                </c:pt>
                <c:pt idx="11">
                  <c:v>0.11582453908442089</c:v>
                </c:pt>
                <c:pt idx="12">
                  <c:v>0.10943411789393165</c:v>
                </c:pt>
                <c:pt idx="13">
                  <c:v>0.12606049996046914</c:v>
                </c:pt>
                <c:pt idx="14">
                  <c:v>0.15804792211470009</c:v>
                </c:pt>
                <c:pt idx="15">
                  <c:v>0.12684835113448117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54-4416-AD07-ECA0FADD60AC}"/>
            </c:ext>
          </c:extLst>
        </c:ser>
        <c:ser>
          <c:idx val="2"/>
          <c:order val="2"/>
          <c:tx>
            <c:strRef>
              <c:f>'14)_PIL_din_9_vide_ES_summa'!$L$40</c:f>
              <c:strCache>
                <c:ptCount val="1"/>
                <c:pt idx="0">
                  <c:v>Pārējie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'14)_PIL_din_9_vide_ES_summa'!$I$41:$I$56</c:f>
              <c:strCache>
                <c:ptCount val="16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</c:strCache>
            </c:strRef>
          </c:cat>
          <c:val>
            <c:numRef>
              <c:f>'14)_PIL_din_9_vide_ES_summa'!$L$41:$L$56</c:f>
              <c:numCache>
                <c:formatCode>0.0%</c:formatCode>
                <c:ptCount val="16"/>
                <c:pt idx="0">
                  <c:v>0.79610212068619979</c:v>
                </c:pt>
                <c:pt idx="1">
                  <c:v>0.80356567854620786</c:v>
                </c:pt>
                <c:pt idx="2">
                  <c:v>0.79308052319146283</c:v>
                </c:pt>
                <c:pt idx="3">
                  <c:v>0.85454725973947787</c:v>
                </c:pt>
                <c:pt idx="4">
                  <c:v>0.83043883614407821</c:v>
                </c:pt>
                <c:pt idx="5">
                  <c:v>0.84735270904198745</c:v>
                </c:pt>
                <c:pt idx="6">
                  <c:v>0.8774654797053888</c:v>
                </c:pt>
                <c:pt idx="7">
                  <c:v>0.89416604227281249</c:v>
                </c:pt>
                <c:pt idx="8">
                  <c:v>0.89697417492411036</c:v>
                </c:pt>
                <c:pt idx="9">
                  <c:v>0.8846434001676815</c:v>
                </c:pt>
                <c:pt idx="10">
                  <c:v>0.87337186441368064</c:v>
                </c:pt>
                <c:pt idx="11">
                  <c:v>0.84884570066666609</c:v>
                </c:pt>
                <c:pt idx="12">
                  <c:v>0.85429972938156851</c:v>
                </c:pt>
                <c:pt idx="13">
                  <c:v>0.85205489464623108</c:v>
                </c:pt>
                <c:pt idx="14">
                  <c:v>0.80169820550193205</c:v>
                </c:pt>
                <c:pt idx="15">
                  <c:v>0.82044798035323707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54-4416-AD07-ECA0FADD60A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2355376"/>
        <c:axId val="192356944"/>
      </c:barChart>
      <c:catAx>
        <c:axId val="19235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2356944"/>
        <c:crosses val="autoZero"/>
        <c:auto val="1"/>
        <c:lblAlgn val="ctr"/>
        <c:lblOffset val="100"/>
        <c:noMultiLvlLbl val="0"/>
      </c:catAx>
      <c:valAx>
        <c:axId val="192356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235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581025</xdr:colOff>
      <xdr:row>1</xdr:row>
      <xdr:rowOff>0</xdr:rowOff>
    </xdr:to>
    <xdr:pic>
      <xdr:nvPicPr>
        <xdr:cNvPr id="1071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4</xdr:col>
      <xdr:colOff>723900</xdr:colOff>
      <xdr:row>1</xdr:row>
      <xdr:rowOff>0</xdr:rowOff>
    </xdr:to>
    <xdr:pic>
      <xdr:nvPicPr>
        <xdr:cNvPr id="3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9</xdr:row>
      <xdr:rowOff>76200</xdr:rowOff>
    </xdr:to>
    <xdr:pic>
      <xdr:nvPicPr>
        <xdr:cNvPr id="3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114299</xdr:rowOff>
    </xdr:from>
    <xdr:to>
      <xdr:col>11</xdr:col>
      <xdr:colOff>438150</xdr:colOff>
      <xdr:row>32</xdr:row>
      <xdr:rowOff>19049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1295401</xdr:colOff>
      <xdr:row>0</xdr:row>
      <xdr:rowOff>885825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076450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9</xdr:row>
      <xdr:rowOff>76200</xdr:rowOff>
    </xdr:to>
    <xdr:pic>
      <xdr:nvPicPr>
        <xdr:cNvPr id="5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575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190501</xdr:colOff>
      <xdr:row>11</xdr:row>
      <xdr:rowOff>152399</xdr:rowOff>
    </xdr:from>
    <xdr:to>
      <xdr:col>12</xdr:col>
      <xdr:colOff>47625</xdr:colOff>
      <xdr:row>34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9</xdr:row>
      <xdr:rowOff>76200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11</xdr:row>
      <xdr:rowOff>138112</xdr:rowOff>
    </xdr:from>
    <xdr:to>
      <xdr:col>13</xdr:col>
      <xdr:colOff>266700</xdr:colOff>
      <xdr:row>34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9</xdr:row>
      <xdr:rowOff>76200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13</xdr:row>
      <xdr:rowOff>4762</xdr:rowOff>
    </xdr:from>
    <xdr:to>
      <xdr:col>13</xdr:col>
      <xdr:colOff>180974</xdr:colOff>
      <xdr:row>35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0</xdr:row>
      <xdr:rowOff>1524000</xdr:rowOff>
    </xdr:to>
    <xdr:pic>
      <xdr:nvPicPr>
        <xdr:cNvPr id="3119" name="Picture 2" descr="K:\IUB Logo\vienkarss_vienkrasu_rgb_h_LV-24.jpg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2095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4143" name="Picture 2" descr="K:\IUB Logo\vienkarss_vienkrasu_rgb_h_LV-24.jpg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9</xdr:row>
      <xdr:rowOff>66675</xdr:rowOff>
    </xdr:to>
    <xdr:pic>
      <xdr:nvPicPr>
        <xdr:cNvPr id="16496" name="Picture 2" descr="K:\IUB Logo\vienkarss_vienkrasu_rgb_h_LV-24.jpg">
          <a:extLst>
            <a:ext uri="{FF2B5EF4-FFF2-40B4-BE49-F238E27FC236}">
              <a16:creationId xmlns:a16="http://schemas.microsoft.com/office/drawing/2014/main" id="{00000000-0008-0000-0400-00007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142874</xdr:colOff>
      <xdr:row>13</xdr:row>
      <xdr:rowOff>71436</xdr:rowOff>
    </xdr:from>
    <xdr:to>
      <xdr:col>6</xdr:col>
      <xdr:colOff>533399</xdr:colOff>
      <xdr:row>31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13</xdr:row>
      <xdr:rowOff>76200</xdr:rowOff>
    </xdr:from>
    <xdr:to>
      <xdr:col>13</xdr:col>
      <xdr:colOff>409575</xdr:colOff>
      <xdr:row>31</xdr:row>
      <xdr:rowOff>119063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9</xdr:row>
      <xdr:rowOff>66675</xdr:rowOff>
    </xdr:to>
    <xdr:pic>
      <xdr:nvPicPr>
        <xdr:cNvPr id="28706" name="Picture 2" descr="K:\IUB Logo\vienkarss_vienkrasu_rgb_h_LV-24.jpg">
          <a:extLst>
            <a:ext uri="{FF2B5EF4-FFF2-40B4-BE49-F238E27FC236}">
              <a16:creationId xmlns:a16="http://schemas.microsoft.com/office/drawing/2014/main" id="{00000000-0008-0000-0500-00002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9</xdr:row>
      <xdr:rowOff>66675</xdr:rowOff>
    </xdr:to>
    <xdr:pic>
      <xdr:nvPicPr>
        <xdr:cNvPr id="39965" name="Picture 2" descr="K:\IUB Logo\vienkarss_vienkrasu_rgb_h_LV-24.jpg">
          <a:extLst>
            <a:ext uri="{FF2B5EF4-FFF2-40B4-BE49-F238E27FC236}">
              <a16:creationId xmlns:a16="http://schemas.microsoft.com/office/drawing/2014/main" id="{00000000-0008-0000-0600-00001D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9</xdr:row>
      <xdr:rowOff>76200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14</xdr:row>
      <xdr:rowOff>47625</xdr:rowOff>
    </xdr:from>
    <xdr:to>
      <xdr:col>12</xdr:col>
      <xdr:colOff>400050</xdr:colOff>
      <xdr:row>34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12</xdr:row>
      <xdr:rowOff>100012</xdr:rowOff>
    </xdr:from>
    <xdr:to>
      <xdr:col>12</xdr:col>
      <xdr:colOff>285750</xdr:colOff>
      <xdr:row>29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9</xdr:row>
      <xdr:rowOff>76200</xdr:rowOff>
    </xdr:to>
    <xdr:pic>
      <xdr:nvPicPr>
        <xdr:cNvPr id="6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0"/>
  <sheetViews>
    <sheetView tabSelected="1" topLeftCell="A7" zoomScaleNormal="100" zoomScalePageLayoutView="80" workbookViewId="0">
      <selection activeCell="F22" sqref="F22"/>
    </sheetView>
  </sheetViews>
  <sheetFormatPr defaultColWidth="11.5703125" defaultRowHeight="12.75" x14ac:dyDescent="0.2"/>
  <cols>
    <col min="2" max="2" width="9.7109375" customWidth="1"/>
    <col min="3" max="3" width="16.7109375" customWidth="1"/>
    <col min="4" max="7" width="11.5703125" customWidth="1"/>
    <col min="8" max="8" width="12.7109375" customWidth="1"/>
    <col min="9" max="12" width="11.5703125" customWidth="1"/>
    <col min="13" max="13" width="13.140625" customWidth="1"/>
    <col min="14" max="17" width="11.5703125" customWidth="1"/>
    <col min="18" max="18" width="15.5703125" customWidth="1"/>
  </cols>
  <sheetData>
    <row r="1" spans="2:21" ht="120" customHeight="1" x14ac:dyDescent="0.2"/>
    <row r="2" spans="2:21" ht="18.75" x14ac:dyDescent="0.2">
      <c r="B2" s="159" t="s">
        <v>111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2:21" ht="18.75" x14ac:dyDescent="0.2">
      <c r="B3" s="39"/>
      <c r="C3" s="39"/>
      <c r="D3" s="39"/>
      <c r="E3" s="39"/>
      <c r="F3" s="141"/>
      <c r="G3" s="39"/>
      <c r="H3" s="39"/>
      <c r="I3" s="39"/>
      <c r="J3" s="39"/>
      <c r="K3" s="141"/>
      <c r="L3" s="39"/>
      <c r="M3" s="39"/>
      <c r="N3" s="39"/>
      <c r="O3" s="39"/>
      <c r="P3" s="39"/>
    </row>
    <row r="4" spans="2:21" ht="15" x14ac:dyDescent="0.2">
      <c r="B4" s="160"/>
      <c r="C4" s="160"/>
      <c r="D4" s="161" t="s">
        <v>0</v>
      </c>
      <c r="E4" s="161"/>
      <c r="F4" s="161"/>
      <c r="G4" s="161"/>
      <c r="H4" s="161"/>
      <c r="I4" s="161" t="s">
        <v>1</v>
      </c>
      <c r="J4" s="161"/>
      <c r="K4" s="161"/>
      <c r="L4" s="161"/>
      <c r="M4" s="161"/>
      <c r="N4" s="162" t="s">
        <v>88</v>
      </c>
      <c r="O4" s="163"/>
      <c r="P4" s="163"/>
      <c r="R4" s="2"/>
      <c r="S4" s="3"/>
      <c r="T4" s="3"/>
      <c r="U4" s="3"/>
    </row>
    <row r="5" spans="2:21" ht="202.5" x14ac:dyDescent="0.2">
      <c r="B5" s="160"/>
      <c r="C5" s="160"/>
      <c r="D5" s="43" t="s">
        <v>2</v>
      </c>
      <c r="E5" s="43" t="s">
        <v>94</v>
      </c>
      <c r="F5" s="43" t="s">
        <v>74</v>
      </c>
      <c r="G5" s="43" t="s">
        <v>3</v>
      </c>
      <c r="H5" s="43" t="s">
        <v>9</v>
      </c>
      <c r="I5" s="43" t="s">
        <v>2</v>
      </c>
      <c r="J5" s="43" t="s">
        <v>94</v>
      </c>
      <c r="K5" s="43" t="s">
        <v>74</v>
      </c>
      <c r="L5" s="43" t="s">
        <v>3</v>
      </c>
      <c r="M5" s="43" t="s">
        <v>9</v>
      </c>
      <c r="N5" s="43" t="s">
        <v>2</v>
      </c>
      <c r="O5" s="43" t="s">
        <v>3</v>
      </c>
      <c r="P5" s="43" t="s">
        <v>9</v>
      </c>
      <c r="R5" s="4"/>
      <c r="S5" s="4"/>
      <c r="T5" s="4"/>
      <c r="U5" s="5"/>
    </row>
    <row r="6" spans="2:21" ht="17.850000000000001" customHeight="1" x14ac:dyDescent="0.2">
      <c r="B6" s="173" t="s">
        <v>112</v>
      </c>
      <c r="C6" s="17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7"/>
      <c r="P6" s="156"/>
      <c r="R6" s="4"/>
      <c r="S6" s="4"/>
      <c r="T6" s="4"/>
      <c r="U6" s="5"/>
    </row>
    <row r="7" spans="2:21" ht="14.1" customHeight="1" x14ac:dyDescent="0.25">
      <c r="B7" s="174"/>
      <c r="C7" s="7" t="s">
        <v>113</v>
      </c>
      <c r="D7" s="36">
        <f>76+1+1</f>
        <v>78</v>
      </c>
      <c r="E7" s="37">
        <v>3</v>
      </c>
      <c r="F7" s="37">
        <f>0+0</f>
        <v>0</v>
      </c>
      <c r="G7" s="37">
        <f>146+0+4</f>
        <v>150</v>
      </c>
      <c r="H7" s="37">
        <f>78085006+16016805</f>
        <v>94101811</v>
      </c>
      <c r="I7" s="36">
        <f>224+0+32</f>
        <v>256</v>
      </c>
      <c r="J7" s="37">
        <v>0</v>
      </c>
      <c r="K7" s="37">
        <f>0+0</f>
        <v>0</v>
      </c>
      <c r="L7" s="37">
        <f>261+2+34</f>
        <v>297</v>
      </c>
      <c r="M7" s="37">
        <f>57707879+2368617</f>
        <v>60076496</v>
      </c>
      <c r="N7" s="37">
        <v>627</v>
      </c>
      <c r="O7" s="150">
        <v>591</v>
      </c>
      <c r="P7" s="151">
        <v>18577931</v>
      </c>
      <c r="Q7" s="10"/>
      <c r="R7" s="4"/>
      <c r="S7" s="4"/>
      <c r="T7" s="4"/>
      <c r="U7" s="5"/>
    </row>
    <row r="8" spans="2:21" ht="15.6" customHeight="1" x14ac:dyDescent="0.25">
      <c r="B8" s="174"/>
      <c r="C8" s="7" t="s">
        <v>114</v>
      </c>
      <c r="D8" s="38">
        <f>81+0+4</f>
        <v>85</v>
      </c>
      <c r="E8" s="38">
        <v>3</v>
      </c>
      <c r="F8" s="38">
        <f>0+0</f>
        <v>0</v>
      </c>
      <c r="G8" s="38">
        <f>164+3+3</f>
        <v>170</v>
      </c>
      <c r="H8" s="37">
        <f>114318387+303860</f>
        <v>114622247</v>
      </c>
      <c r="I8" s="38">
        <f>211+3+22</f>
        <v>236</v>
      </c>
      <c r="J8" s="38">
        <v>0</v>
      </c>
      <c r="K8" s="38">
        <f>0+0</f>
        <v>0</v>
      </c>
      <c r="L8" s="38">
        <f>187+2+33</f>
        <v>222</v>
      </c>
      <c r="M8" s="37">
        <f>27129808+2430573</f>
        <v>29560381</v>
      </c>
      <c r="N8" s="37">
        <v>594</v>
      </c>
      <c r="O8" s="147">
        <v>542</v>
      </c>
      <c r="P8" s="149">
        <v>15590005</v>
      </c>
      <c r="Q8" s="10"/>
      <c r="R8" s="4"/>
      <c r="S8" s="4"/>
      <c r="T8" s="4"/>
      <c r="U8" s="5"/>
    </row>
    <row r="9" spans="2:21" ht="14.85" customHeight="1" x14ac:dyDescent="0.25">
      <c r="B9" s="174"/>
      <c r="C9" s="7" t="s">
        <v>115</v>
      </c>
      <c r="D9" s="38">
        <f>95+1+2</f>
        <v>98</v>
      </c>
      <c r="E9" s="38">
        <v>4</v>
      </c>
      <c r="F9" s="38">
        <f>2+0</f>
        <v>2</v>
      </c>
      <c r="G9" s="38">
        <f>176+0+3</f>
        <v>179</v>
      </c>
      <c r="H9" s="37">
        <f>106765169+1654000</f>
        <v>108419169</v>
      </c>
      <c r="I9" s="38">
        <f>211+3+33</f>
        <v>247</v>
      </c>
      <c r="J9" s="38">
        <v>0</v>
      </c>
      <c r="K9" s="38">
        <f>1+0</f>
        <v>1</v>
      </c>
      <c r="L9" s="38">
        <f>270+1+26</f>
        <v>297</v>
      </c>
      <c r="M9" s="37">
        <f>40958522+1833516</f>
        <v>42792038</v>
      </c>
      <c r="N9" s="38">
        <v>444</v>
      </c>
      <c r="O9" s="147">
        <v>541</v>
      </c>
      <c r="P9" s="148">
        <v>14076144</v>
      </c>
      <c r="Q9" s="10"/>
      <c r="R9" s="4"/>
      <c r="S9" s="4"/>
      <c r="T9" s="4"/>
      <c r="U9" s="5"/>
    </row>
    <row r="10" spans="2:21" ht="13.5" x14ac:dyDescent="0.2">
      <c r="B10" s="175" t="s">
        <v>4</v>
      </c>
      <c r="C10" s="175"/>
      <c r="D10" s="44">
        <f>SUM(D7:D9)</f>
        <v>261</v>
      </c>
      <c r="E10" s="142">
        <f>SUM(E7:E9)</f>
        <v>10</v>
      </c>
      <c r="F10" s="142">
        <f>SUM(F7:F9)</f>
        <v>2</v>
      </c>
      <c r="G10" s="44">
        <f t="shared" ref="G10:N10" si="0">SUM(G7:G9)</f>
        <v>499</v>
      </c>
      <c r="H10" s="45">
        <f t="shared" si="0"/>
        <v>317143227</v>
      </c>
      <c r="I10" s="45">
        <f>SUM(I7:I9)</f>
        <v>739</v>
      </c>
      <c r="J10" s="45">
        <f t="shared" si="0"/>
        <v>0</v>
      </c>
      <c r="K10" s="45">
        <f>SUM(K7:K9)</f>
        <v>1</v>
      </c>
      <c r="L10" s="45">
        <f t="shared" si="0"/>
        <v>816</v>
      </c>
      <c r="M10" s="45">
        <f t="shared" si="0"/>
        <v>132428915</v>
      </c>
      <c r="N10" s="45">
        <f t="shared" si="0"/>
        <v>1665</v>
      </c>
      <c r="O10" s="45">
        <f>SUM(O7:O9)</f>
        <v>1674</v>
      </c>
      <c r="P10" s="45">
        <f>SUM(P7:P9)</f>
        <v>48244080</v>
      </c>
      <c r="Q10" s="11"/>
      <c r="R10" s="5"/>
      <c r="S10" s="4" t="s">
        <v>5</v>
      </c>
      <c r="T10" s="4"/>
      <c r="U10" s="5"/>
    </row>
    <row r="11" spans="2:21" x14ac:dyDescent="0.2">
      <c r="B11" s="4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4"/>
      <c r="S11" s="4"/>
      <c r="T11" s="4"/>
      <c r="U11" s="5"/>
    </row>
    <row r="12" spans="2:21" ht="33.75" customHeight="1" x14ac:dyDescent="0.2">
      <c r="B12" s="167" t="s">
        <v>95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  <c r="R12" s="5"/>
      <c r="S12" s="4"/>
      <c r="T12" s="4"/>
      <c r="U12" s="5"/>
    </row>
    <row r="13" spans="2:21" ht="43.5" customHeight="1" x14ac:dyDescent="0.2">
      <c r="B13" s="176" t="s">
        <v>108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8"/>
      <c r="R13" s="5"/>
      <c r="S13" s="4"/>
      <c r="T13" s="4"/>
      <c r="U13" s="5"/>
    </row>
    <row r="14" spans="2:21" ht="2.25" customHeight="1" x14ac:dyDescent="0.25">
      <c r="B14" s="4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R14" s="4"/>
      <c r="S14" s="4"/>
      <c r="T14" s="4"/>
      <c r="U14" s="5"/>
    </row>
    <row r="15" spans="2:21" s="14" customFormat="1" ht="30.75" customHeight="1" x14ac:dyDescent="0.2">
      <c r="B15" s="164" t="s">
        <v>72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6"/>
    </row>
    <row r="16" spans="2:21" ht="22.5" customHeight="1" x14ac:dyDescent="0.2">
      <c r="B16" s="167" t="s">
        <v>73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9"/>
      <c r="R16" s="11"/>
    </row>
    <row r="17" spans="2:16" s="15" customFormat="1" ht="34.5" customHeight="1" x14ac:dyDescent="0.2">
      <c r="B17" s="170" t="s">
        <v>92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2"/>
    </row>
    <row r="19" spans="2:16" x14ac:dyDescent="0.2">
      <c r="G19" s="11"/>
      <c r="H19" s="11"/>
      <c r="J19" s="101"/>
      <c r="L19" s="101"/>
    </row>
    <row r="20" spans="2:16" x14ac:dyDescent="0.2">
      <c r="B20" s="24"/>
      <c r="C20" s="24"/>
      <c r="D20" s="144"/>
      <c r="E20" s="24"/>
      <c r="F20" s="24"/>
      <c r="G20" s="101"/>
      <c r="O20" s="101"/>
    </row>
    <row r="21" spans="2:16" x14ac:dyDescent="0.2">
      <c r="B21" s="25"/>
      <c r="C21" s="25"/>
      <c r="D21" s="145"/>
      <c r="E21" s="26"/>
      <c r="F21" s="26"/>
      <c r="G21" s="26"/>
    </row>
    <row r="22" spans="2:16" x14ac:dyDescent="0.2">
      <c r="B22" s="24"/>
      <c r="C22" s="24"/>
      <c r="D22" s="145"/>
      <c r="E22" s="24"/>
      <c r="F22" s="158"/>
      <c r="G22" s="26"/>
    </row>
    <row r="23" spans="2:16" x14ac:dyDescent="0.2">
      <c r="B23" s="25"/>
      <c r="C23" s="25"/>
      <c r="D23" s="143"/>
      <c r="E23" s="26"/>
      <c r="F23" s="26"/>
      <c r="G23" s="26"/>
    </row>
    <row r="24" spans="2:16" x14ac:dyDescent="0.2">
      <c r="B24" s="25"/>
      <c r="C24" s="25"/>
      <c r="D24" s="25"/>
      <c r="E24" s="26"/>
      <c r="F24" s="26"/>
      <c r="G24" s="26"/>
    </row>
    <row r="25" spans="2:16" x14ac:dyDescent="0.2">
      <c r="B25" s="25"/>
      <c r="C25" s="25"/>
      <c r="D25" s="25"/>
      <c r="E25" s="26"/>
      <c r="F25" s="26"/>
      <c r="G25" s="26"/>
      <c r="H25" s="11"/>
      <c r="I25" s="101"/>
    </row>
    <row r="26" spans="2:16" x14ac:dyDescent="0.2">
      <c r="B26" s="25"/>
      <c r="C26" s="25"/>
      <c r="D26" s="25"/>
      <c r="E26" s="25"/>
      <c r="F26" s="25"/>
    </row>
    <row r="27" spans="2:16" x14ac:dyDescent="0.2">
      <c r="B27" s="25"/>
      <c r="C27" s="25"/>
      <c r="D27" s="25"/>
      <c r="E27" s="25"/>
      <c r="F27" s="25"/>
    </row>
    <row r="28" spans="2:16" x14ac:dyDescent="0.2">
      <c r="B28" s="25"/>
      <c r="C28" s="25"/>
      <c r="D28" s="25"/>
      <c r="E28" s="25"/>
      <c r="F28" s="25"/>
    </row>
    <row r="29" spans="2:16" x14ac:dyDescent="0.2">
      <c r="B29" s="25"/>
      <c r="C29" s="25"/>
      <c r="D29" s="25"/>
    </row>
    <row r="30" spans="2:16" x14ac:dyDescent="0.2">
      <c r="B30" s="25"/>
      <c r="C30" s="25"/>
      <c r="D30" s="25"/>
    </row>
    <row r="31" spans="2:16" x14ac:dyDescent="0.2">
      <c r="B31" s="25"/>
      <c r="C31" s="25"/>
      <c r="D31" s="25"/>
      <c r="E31" s="26"/>
      <c r="F31" s="26"/>
    </row>
    <row r="32" spans="2:16" x14ac:dyDescent="0.2">
      <c r="B32" s="25"/>
      <c r="C32" s="25"/>
      <c r="D32" s="25"/>
      <c r="E32" s="26"/>
      <c r="F32" s="26"/>
      <c r="O32" s="101"/>
    </row>
    <row r="35" spans="2:6" x14ac:dyDescent="0.2">
      <c r="B35" s="25"/>
      <c r="C35" s="25"/>
      <c r="D35" s="25"/>
      <c r="E35" s="26"/>
      <c r="F35" s="26"/>
    </row>
    <row r="36" spans="2:6" x14ac:dyDescent="0.2">
      <c r="B36" s="25"/>
      <c r="C36" s="25"/>
      <c r="D36" s="25"/>
      <c r="E36" s="26"/>
      <c r="F36" s="26"/>
    </row>
    <row r="37" spans="2:6" x14ac:dyDescent="0.2">
      <c r="B37" s="25"/>
      <c r="C37" s="25"/>
      <c r="D37" s="25"/>
      <c r="E37" s="26"/>
      <c r="F37" s="26"/>
    </row>
    <row r="39" spans="2:6" x14ac:dyDescent="0.2">
      <c r="C39" s="25"/>
      <c r="D39" s="25"/>
    </row>
    <row r="40" spans="2:6" x14ac:dyDescent="0.2">
      <c r="C40" s="25"/>
      <c r="D40" s="25"/>
    </row>
  </sheetData>
  <mergeCells count="13">
    <mergeCell ref="B15:P15"/>
    <mergeCell ref="B16:P16"/>
    <mergeCell ref="B17:P17"/>
    <mergeCell ref="B6:C6"/>
    <mergeCell ref="B7:B9"/>
    <mergeCell ref="B10:C10"/>
    <mergeCell ref="B12:P12"/>
    <mergeCell ref="B13:P13"/>
    <mergeCell ref="B2:P2"/>
    <mergeCell ref="B4:C5"/>
    <mergeCell ref="D4:H4"/>
    <mergeCell ref="I4:M4"/>
    <mergeCell ref="N4:P4"/>
  </mergeCells>
  <phoneticPr fontId="24" type="noConversion"/>
  <pageMargins left="0.23622047244094491" right="0.23622047244094491" top="0.19685039370078741" bottom="0.74803149606299213" header="0.31496062992125984" footer="0.31496062992125984"/>
  <pageSetup paperSize="9" scale="63" orientation="landscape" useFirstPageNumber="1" r:id="rId1"/>
  <headerFooter>
    <oddFooter>&amp;C1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56"/>
  <sheetViews>
    <sheetView topLeftCell="A13" workbookViewId="0">
      <selection activeCell="O59" sqref="O59"/>
    </sheetView>
  </sheetViews>
  <sheetFormatPr defaultRowHeight="12.75" x14ac:dyDescent="0.2"/>
  <cols>
    <col min="2" max="4" width="11.140625" bestFit="1" customWidth="1"/>
    <col min="6" max="6" width="11.140625" bestFit="1" customWidth="1"/>
  </cols>
  <sheetData>
    <row r="11" spans="1:13" ht="32.25" customHeight="1" x14ac:dyDescent="0.2">
      <c r="A11" s="212" t="s">
        <v>53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34" spans="1:14" ht="42.75" customHeight="1" x14ac:dyDescent="0.2">
      <c r="A34" s="213" t="s">
        <v>85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6" spans="1:14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8" spans="1:14" x14ac:dyDescent="0.2">
      <c r="B38" t="s">
        <v>67</v>
      </c>
      <c r="C38" t="s">
        <v>64</v>
      </c>
      <c r="D38" t="s">
        <v>65</v>
      </c>
      <c r="F38" t="s">
        <v>63</v>
      </c>
    </row>
    <row r="39" spans="1:14" x14ac:dyDescent="0.2">
      <c r="A39" t="s">
        <v>35</v>
      </c>
      <c r="B39" s="109">
        <v>255.37000800000001</v>
      </c>
      <c r="C39" s="109">
        <v>23.948089</v>
      </c>
      <c r="D39" s="109">
        <v>89.102096000000003</v>
      </c>
      <c r="F39">
        <f>B39-(C39+D39)</f>
        <v>142.31982300000001</v>
      </c>
      <c r="J39" s="111" t="s">
        <v>50</v>
      </c>
      <c r="K39" s="111" t="s">
        <v>51</v>
      </c>
      <c r="L39" s="111" t="s">
        <v>54</v>
      </c>
    </row>
    <row r="40" spans="1:14" x14ac:dyDescent="0.2">
      <c r="A40" t="s">
        <v>36</v>
      </c>
      <c r="B40" s="113">
        <v>555.36936400000002</v>
      </c>
      <c r="C40" s="113">
        <v>85.268719000000004</v>
      </c>
      <c r="D40" s="113">
        <v>196.93182400000001</v>
      </c>
      <c r="E40" s="109"/>
      <c r="F40" s="109">
        <f t="shared" ref="F40:F52" si="0">B40-(C40+D40)</f>
        <v>273.16882099999998</v>
      </c>
      <c r="I40" t="s">
        <v>35</v>
      </c>
      <c r="J40" s="59">
        <f t="shared" ref="J40:J46" si="1">C39/B39</f>
        <v>9.3778001526318627E-2</v>
      </c>
      <c r="K40" s="59">
        <f t="shared" ref="K40:K46" si="2">D39/B39</f>
        <v>0.34891370642084168</v>
      </c>
      <c r="L40" s="59">
        <f t="shared" ref="L40:L46" si="3">F39/B39</f>
        <v>0.55730829205283972</v>
      </c>
    </row>
    <row r="41" spans="1:14" x14ac:dyDescent="0.2">
      <c r="A41" t="s">
        <v>37</v>
      </c>
      <c r="B41" s="113">
        <v>411.45053200000001</v>
      </c>
      <c r="C41" s="113">
        <v>50.742759999999997</v>
      </c>
      <c r="D41" s="113">
        <v>124.006674</v>
      </c>
      <c r="E41" s="109"/>
      <c r="F41" s="109">
        <f t="shared" si="0"/>
        <v>236.701098</v>
      </c>
      <c r="I41" t="s">
        <v>36</v>
      </c>
      <c r="J41" s="59">
        <f t="shared" si="1"/>
        <v>0.15353515070737681</v>
      </c>
      <c r="K41" s="59">
        <f t="shared" si="2"/>
        <v>0.3545961242471416</v>
      </c>
      <c r="L41" s="59">
        <f t="shared" si="3"/>
        <v>0.49186872504548157</v>
      </c>
    </row>
    <row r="42" spans="1:14" x14ac:dyDescent="0.2">
      <c r="A42" t="s">
        <v>38</v>
      </c>
      <c r="B42" s="109">
        <v>353.37125400000002</v>
      </c>
      <c r="C42" s="109">
        <v>37.474448000000002</v>
      </c>
      <c r="D42" s="109">
        <v>88.316438000000005</v>
      </c>
      <c r="E42" s="109"/>
      <c r="F42" s="109">
        <f t="shared" si="0"/>
        <v>227.58036800000002</v>
      </c>
      <c r="I42" t="s">
        <v>37</v>
      </c>
      <c r="J42" s="59">
        <f t="shared" si="1"/>
        <v>0.12332651449822404</v>
      </c>
      <c r="K42" s="59">
        <f t="shared" si="2"/>
        <v>0.30138902335894902</v>
      </c>
      <c r="L42" s="59">
        <f t="shared" si="3"/>
        <v>0.57528446214282691</v>
      </c>
    </row>
    <row r="43" spans="1:14" x14ac:dyDescent="0.2">
      <c r="A43" t="s">
        <v>39</v>
      </c>
      <c r="B43" s="109">
        <v>496.12479500000001</v>
      </c>
      <c r="C43" s="109">
        <v>157.231844</v>
      </c>
      <c r="D43" s="109">
        <v>126.911253</v>
      </c>
      <c r="E43" s="109"/>
      <c r="F43" s="109">
        <f t="shared" si="0"/>
        <v>211.98169799999999</v>
      </c>
      <c r="I43" t="s">
        <v>38</v>
      </c>
      <c r="J43" s="59">
        <f t="shared" si="1"/>
        <v>0.10604837709860802</v>
      </c>
      <c r="K43" s="59">
        <f t="shared" si="2"/>
        <v>0.24992536036901292</v>
      </c>
      <c r="L43" s="59">
        <f t="shared" si="3"/>
        <v>0.64402626253237905</v>
      </c>
    </row>
    <row r="44" spans="1:14" x14ac:dyDescent="0.2">
      <c r="A44" t="s">
        <v>40</v>
      </c>
      <c r="B44" s="113">
        <v>391.51859100000001</v>
      </c>
      <c r="C44" s="113">
        <v>51.640622</v>
      </c>
      <c r="D44" s="113">
        <v>80.035405999999995</v>
      </c>
      <c r="E44" s="109"/>
      <c r="F44" s="109">
        <f t="shared" si="0"/>
        <v>259.84256300000004</v>
      </c>
      <c r="I44" t="s">
        <v>39</v>
      </c>
      <c r="J44" s="59">
        <f t="shared" si="1"/>
        <v>0.31691994753054015</v>
      </c>
      <c r="K44" s="59">
        <f t="shared" si="2"/>
        <v>0.25580510040825516</v>
      </c>
      <c r="L44" s="59">
        <f t="shared" si="3"/>
        <v>0.42727495206120464</v>
      </c>
    </row>
    <row r="45" spans="1:14" x14ac:dyDescent="0.2">
      <c r="A45" s="104" t="s">
        <v>41</v>
      </c>
      <c r="B45" s="113">
        <v>415.54393299999998</v>
      </c>
      <c r="C45" s="113">
        <v>73.791612999999998</v>
      </c>
      <c r="D45" s="113">
        <v>45.74615</v>
      </c>
      <c r="E45" s="109"/>
      <c r="F45" s="109">
        <f t="shared" si="0"/>
        <v>296.00617</v>
      </c>
      <c r="I45" t="s">
        <v>40</v>
      </c>
      <c r="J45" s="59">
        <f t="shared" si="1"/>
        <v>0.13189826278262223</v>
      </c>
      <c r="K45" s="59">
        <f t="shared" si="2"/>
        <v>0.20442300273807429</v>
      </c>
      <c r="L45" s="59">
        <f t="shared" si="3"/>
        <v>0.66367873447930348</v>
      </c>
    </row>
    <row r="46" spans="1:14" x14ac:dyDescent="0.2">
      <c r="A46" t="s">
        <v>58</v>
      </c>
      <c r="B46" s="113">
        <v>327924597</v>
      </c>
      <c r="C46" s="113">
        <v>64150791</v>
      </c>
      <c r="D46" s="113">
        <v>40121624</v>
      </c>
      <c r="F46" s="109">
        <f t="shared" si="0"/>
        <v>223652182</v>
      </c>
      <c r="I46" s="104" t="s">
        <v>41</v>
      </c>
      <c r="J46" s="59">
        <f t="shared" si="1"/>
        <v>0.177578366906394</v>
      </c>
      <c r="K46" s="59">
        <f t="shared" si="2"/>
        <v>0.11008739718502882</v>
      </c>
      <c r="L46" s="59">
        <f t="shared" si="3"/>
        <v>0.71233423590857725</v>
      </c>
    </row>
    <row r="47" spans="1:14" x14ac:dyDescent="0.2">
      <c r="A47" t="s">
        <v>60</v>
      </c>
      <c r="B47" s="113">
        <v>303166462</v>
      </c>
      <c r="C47" s="113">
        <v>31071903</v>
      </c>
      <c r="D47" s="113">
        <v>65085618</v>
      </c>
      <c r="F47" s="109">
        <f t="shared" si="0"/>
        <v>207008941</v>
      </c>
      <c r="I47" t="s">
        <v>58</v>
      </c>
      <c r="J47" s="114">
        <f t="shared" ref="J47:J52" si="4">C46/B46</f>
        <v>0.19562665194035445</v>
      </c>
      <c r="K47" s="114">
        <f t="shared" ref="K47:K52" si="5">D46/B46</f>
        <v>0.12235015112330838</v>
      </c>
      <c r="L47" s="114">
        <f t="shared" ref="L47:L52" si="6">F46/B46</f>
        <v>0.68202319693633717</v>
      </c>
    </row>
    <row r="48" spans="1:14" x14ac:dyDescent="0.2">
      <c r="A48" t="s">
        <v>61</v>
      </c>
      <c r="B48" s="113">
        <v>473978119</v>
      </c>
      <c r="C48" s="113">
        <v>51657602</v>
      </c>
      <c r="D48" s="113">
        <v>119978940</v>
      </c>
      <c r="F48" s="109">
        <f t="shared" si="0"/>
        <v>302341577</v>
      </c>
      <c r="I48" t="s">
        <v>60</v>
      </c>
      <c r="J48" s="114">
        <f t="shared" si="4"/>
        <v>0.10249122806994396</v>
      </c>
      <c r="K48" s="114">
        <f t="shared" si="5"/>
        <v>0.21468607566492628</v>
      </c>
      <c r="L48" s="114">
        <f t="shared" si="6"/>
        <v>0.6828226962651297</v>
      </c>
    </row>
    <row r="49" spans="1:12" x14ac:dyDescent="0.2">
      <c r="A49" t="s">
        <v>62</v>
      </c>
      <c r="B49" s="113">
        <v>436945062</v>
      </c>
      <c r="C49" s="113">
        <v>82527718</v>
      </c>
      <c r="D49" s="113">
        <v>66738000</v>
      </c>
      <c r="F49" s="109">
        <f t="shared" si="0"/>
        <v>287679344</v>
      </c>
      <c r="I49" t="s">
        <v>61</v>
      </c>
      <c r="J49" s="114">
        <f t="shared" si="4"/>
        <v>0.10898731382154796</v>
      </c>
      <c r="K49" s="114">
        <f t="shared" si="5"/>
        <v>0.25313181176618832</v>
      </c>
      <c r="L49" s="114">
        <f t="shared" si="6"/>
        <v>0.63788087441226371</v>
      </c>
    </row>
    <row r="50" spans="1:12" x14ac:dyDescent="0.2">
      <c r="A50" t="s">
        <v>69</v>
      </c>
      <c r="B50" s="113">
        <v>489403669</v>
      </c>
      <c r="C50" s="113">
        <v>77847272</v>
      </c>
      <c r="D50" s="113">
        <v>156056624</v>
      </c>
      <c r="F50" s="109">
        <f t="shared" si="0"/>
        <v>255499773</v>
      </c>
      <c r="I50" t="s">
        <v>62</v>
      </c>
      <c r="J50" s="114">
        <f t="shared" si="4"/>
        <v>0.18887435784776074</v>
      </c>
      <c r="K50" s="114">
        <f t="shared" si="5"/>
        <v>0.15273773708421037</v>
      </c>
      <c r="L50" s="114">
        <f t="shared" si="6"/>
        <v>0.65838790506802891</v>
      </c>
    </row>
    <row r="51" spans="1:12" x14ac:dyDescent="0.2">
      <c r="A51" t="s">
        <v>70</v>
      </c>
      <c r="B51" s="113">
        <v>385282604</v>
      </c>
      <c r="C51" s="113">
        <v>43269744</v>
      </c>
      <c r="D51" s="113">
        <v>102850841</v>
      </c>
      <c r="F51" s="109">
        <f t="shared" si="0"/>
        <v>239162019</v>
      </c>
      <c r="I51" t="s">
        <v>69</v>
      </c>
      <c r="J51" s="140">
        <f t="shared" si="4"/>
        <v>0.15906556679287992</v>
      </c>
      <c r="K51" s="140">
        <f t="shared" si="5"/>
        <v>0.31887097274703924</v>
      </c>
      <c r="L51" s="140">
        <f t="shared" si="6"/>
        <v>0.5220634604600809</v>
      </c>
    </row>
    <row r="52" spans="1:12" x14ac:dyDescent="0.2">
      <c r="A52" t="s">
        <v>90</v>
      </c>
      <c r="B52" s="113">
        <v>531657304</v>
      </c>
      <c r="C52" s="113">
        <v>49760626</v>
      </c>
      <c r="D52" s="113">
        <v>152433164</v>
      </c>
      <c r="F52" s="109">
        <f t="shared" si="0"/>
        <v>329463514</v>
      </c>
      <c r="I52" t="s">
        <v>70</v>
      </c>
      <c r="J52" s="140">
        <f t="shared" si="4"/>
        <v>0.11230650839351158</v>
      </c>
      <c r="K52" s="140">
        <f t="shared" si="5"/>
        <v>0.26694909121824767</v>
      </c>
      <c r="L52" s="140">
        <f t="shared" si="6"/>
        <v>0.62074440038824075</v>
      </c>
    </row>
    <row r="53" spans="1:12" x14ac:dyDescent="0.2">
      <c r="A53" t="s">
        <v>107</v>
      </c>
      <c r="B53" s="11">
        <v>726800067</v>
      </c>
      <c r="C53" s="11">
        <v>70610411</v>
      </c>
      <c r="D53" s="11">
        <v>107945792</v>
      </c>
      <c r="F53" s="11">
        <f>B53-(C53+D53)</f>
        <v>548243864</v>
      </c>
      <c r="I53" t="s">
        <v>90</v>
      </c>
      <c r="J53" s="140">
        <f>C52/B52</f>
        <v>9.3595302134699909E-2</v>
      </c>
      <c r="K53" s="140">
        <f>D52/B52</f>
        <v>0.28671319448288818</v>
      </c>
      <c r="L53" s="140">
        <f>F52/B52</f>
        <v>0.61969150338241197</v>
      </c>
    </row>
    <row r="54" spans="1:12" ht="15" x14ac:dyDescent="0.25">
      <c r="A54" t="s">
        <v>131</v>
      </c>
      <c r="B54" s="113">
        <v>449572142</v>
      </c>
      <c r="C54" s="121">
        <v>102509270</v>
      </c>
      <c r="D54" s="113">
        <v>95444112</v>
      </c>
      <c r="F54" s="11">
        <f>B54-(C54+D54)</f>
        <v>251618760</v>
      </c>
      <c r="I54" t="s">
        <v>107</v>
      </c>
      <c r="J54" s="140">
        <f>C53/B53</f>
        <v>9.7152455270756055E-2</v>
      </c>
      <c r="K54" s="140">
        <f>D53/B53</f>
        <v>0.14852198961065863</v>
      </c>
      <c r="L54" s="140">
        <f>F53/B53</f>
        <v>0.75432555511858534</v>
      </c>
    </row>
    <row r="55" spans="1:12" x14ac:dyDescent="0.2">
      <c r="I55" t="s">
        <v>131</v>
      </c>
      <c r="J55" s="140">
        <f>C54/B54</f>
        <v>0.22801517359142773</v>
      </c>
      <c r="K55" s="140">
        <f>D54/B54</f>
        <v>0.21229988044944298</v>
      </c>
      <c r="L55" s="140">
        <f>F54/B54</f>
        <v>0.55968494595912932</v>
      </c>
    </row>
    <row r="56" spans="1:12" x14ac:dyDescent="0.2">
      <c r="A56" s="214" t="s">
        <v>135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</row>
  </sheetData>
  <mergeCells count="3">
    <mergeCell ref="A11:M11"/>
    <mergeCell ref="A56:L56"/>
    <mergeCell ref="A34:N34"/>
  </mergeCells>
  <conditionalFormatting sqref="J40:L55">
    <cfRule type="top10" dxfId="3" priority="4" percent="1" rank="10"/>
    <cfRule type="iconSet" priority="5">
      <iconSet iconSet="3Arrows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{0DD144B5-7127-4EF0-8E34-2E4527FB14B8}</x14:id>
        </ext>
      </extLst>
    </cfRule>
  </conditionalFormatting>
  <conditionalFormatting sqref="J40:J5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K40:K5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L40:L5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D144B5-7127-4EF0-8E34-2E4527FB14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J40:L55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Q5" sqref="Q5"/>
    </sheetView>
  </sheetViews>
  <sheetFormatPr defaultColWidth="11.5703125" defaultRowHeight="12.75" x14ac:dyDescent="0.2"/>
  <cols>
    <col min="1" max="1" width="2.42578125" customWidth="1"/>
    <col min="2" max="2" width="9.28515625" customWidth="1"/>
    <col min="3" max="3" width="25.85546875" customWidth="1"/>
    <col min="4" max="4" width="16" customWidth="1"/>
    <col min="5" max="6" width="22.5703125" customWidth="1"/>
    <col min="7" max="7" width="23.5703125" customWidth="1"/>
    <col min="8" max="8" width="4.42578125" customWidth="1"/>
    <col min="9" max="9" width="1.7109375" customWidth="1"/>
  </cols>
  <sheetData>
    <row r="1" spans="1:9" ht="78" customHeight="1" x14ac:dyDescent="0.2"/>
    <row r="2" spans="1:9" ht="31.5" customHeight="1" x14ac:dyDescent="0.2">
      <c r="A2" s="192" t="s">
        <v>132</v>
      </c>
      <c r="B2" s="192"/>
      <c r="C2" s="192"/>
      <c r="D2" s="192"/>
      <c r="E2" s="192"/>
      <c r="F2" s="192"/>
      <c r="G2" s="192"/>
      <c r="H2" s="192"/>
      <c r="I2" s="192"/>
    </row>
    <row r="3" spans="1:9" ht="9" customHeight="1" x14ac:dyDescent="0.2">
      <c r="A3" s="80"/>
      <c r="B3" s="80"/>
      <c r="C3" s="80"/>
      <c r="D3" s="80"/>
      <c r="E3" s="80"/>
      <c r="F3" s="80"/>
      <c r="G3" s="80"/>
      <c r="H3" s="80"/>
      <c r="I3" s="80"/>
    </row>
    <row r="4" spans="1:9" ht="40.5" customHeight="1" x14ac:dyDescent="0.2">
      <c r="A4" s="80"/>
      <c r="B4" s="184"/>
      <c r="C4" s="184"/>
      <c r="D4" s="99" t="s">
        <v>30</v>
      </c>
      <c r="E4" s="84" t="s">
        <v>11</v>
      </c>
      <c r="F4" s="100" t="s">
        <v>9</v>
      </c>
      <c r="G4" s="86" t="s">
        <v>13</v>
      </c>
      <c r="H4" s="80"/>
      <c r="I4" s="80"/>
    </row>
    <row r="5" spans="1:9" ht="15" customHeight="1" x14ac:dyDescent="0.2">
      <c r="A5" s="80"/>
      <c r="B5" s="223" t="s">
        <v>112</v>
      </c>
      <c r="C5" s="223"/>
      <c r="D5" s="22"/>
      <c r="E5" s="22"/>
      <c r="F5" s="82"/>
      <c r="G5" s="85"/>
      <c r="H5" s="80"/>
      <c r="I5" s="80"/>
    </row>
    <row r="6" spans="1:9" ht="14.25" customHeight="1" x14ac:dyDescent="0.25">
      <c r="A6" s="80"/>
      <c r="B6" s="225" t="s">
        <v>26</v>
      </c>
      <c r="C6" s="226"/>
      <c r="D6" s="128">
        <f>D7+D8+D9</f>
        <v>249</v>
      </c>
      <c r="E6" s="129">
        <f>D6/D11</f>
        <v>8.3305453328872528E-2</v>
      </c>
      <c r="F6" s="130">
        <f>F7+F8+F9</f>
        <v>80685571</v>
      </c>
      <c r="G6" s="131">
        <f>F6/F11</f>
        <v>0.16207903124539</v>
      </c>
      <c r="H6" s="80"/>
      <c r="I6" s="80"/>
    </row>
    <row r="7" spans="1:9" ht="13.5" customHeight="1" x14ac:dyDescent="0.2">
      <c r="A7" s="80"/>
      <c r="B7" s="229"/>
      <c r="C7" s="7" t="s">
        <v>24</v>
      </c>
      <c r="D7" s="124">
        <f>85+2</f>
        <v>87</v>
      </c>
      <c r="E7" s="92"/>
      <c r="F7" s="125">
        <f>61478441+350000</f>
        <v>61828441</v>
      </c>
      <c r="G7" s="96"/>
      <c r="H7" s="80"/>
      <c r="I7" s="80"/>
    </row>
    <row r="8" spans="1:9" ht="15.75" customHeight="1" x14ac:dyDescent="0.2">
      <c r="A8" s="80"/>
      <c r="B8" s="230"/>
      <c r="C8" s="7" t="s">
        <v>25</v>
      </c>
      <c r="D8" s="126">
        <f>61+6</f>
        <v>67</v>
      </c>
      <c r="E8" s="93"/>
      <c r="F8" s="127">
        <f>15173405+1130183</f>
        <v>16303588</v>
      </c>
      <c r="G8" s="96"/>
      <c r="H8" s="80"/>
      <c r="I8" s="80"/>
    </row>
    <row r="9" spans="1:9" ht="14.25" customHeight="1" x14ac:dyDescent="0.25">
      <c r="A9" s="80"/>
      <c r="B9" s="231"/>
      <c r="C9" s="146" t="s">
        <v>91</v>
      </c>
      <c r="D9" s="81">
        <v>95</v>
      </c>
      <c r="E9" s="94"/>
      <c r="F9" s="83">
        <v>2553542</v>
      </c>
      <c r="G9" s="96"/>
      <c r="H9" s="80"/>
      <c r="I9" s="80"/>
    </row>
    <row r="10" spans="1:9" ht="16.5" customHeight="1" thickBot="1" x14ac:dyDescent="0.3">
      <c r="A10" s="80"/>
      <c r="B10" s="227" t="s">
        <v>27</v>
      </c>
      <c r="C10" s="228"/>
      <c r="D10" s="132">
        <v>2740</v>
      </c>
      <c r="E10" s="133">
        <f>D10/D11</f>
        <v>0.91669454667112749</v>
      </c>
      <c r="F10" s="134">
        <v>417130651</v>
      </c>
      <c r="G10" s="135">
        <f>F10/F11</f>
        <v>0.83792096875460997</v>
      </c>
      <c r="H10" s="80"/>
      <c r="I10" s="80"/>
    </row>
    <row r="11" spans="1:9" ht="16.5" customHeight="1" thickTop="1" x14ac:dyDescent="0.2">
      <c r="A11" s="80"/>
      <c r="B11" s="224" t="s">
        <v>28</v>
      </c>
      <c r="C11" s="224"/>
      <c r="D11" s="90">
        <f>SUM(D7:D10)</f>
        <v>2989</v>
      </c>
      <c r="E11" s="95">
        <v>1</v>
      </c>
      <c r="F11" s="91">
        <f>SUM(F7:F10)</f>
        <v>497816222</v>
      </c>
      <c r="G11" s="97">
        <v>1</v>
      </c>
      <c r="H11" s="80"/>
      <c r="I11" s="80"/>
    </row>
    <row r="12" spans="1:9" ht="8.25" customHeight="1" x14ac:dyDescent="0.2">
      <c r="A12" s="1"/>
    </row>
    <row r="13" spans="1:9" ht="28.5" customHeight="1" x14ac:dyDescent="0.2">
      <c r="A13" s="212" t="s">
        <v>133</v>
      </c>
      <c r="B13" s="212"/>
      <c r="C13" s="212"/>
      <c r="D13" s="212"/>
      <c r="E13" s="212"/>
      <c r="F13" s="212"/>
      <c r="G13" s="212"/>
      <c r="H13" s="212"/>
      <c r="I13" s="212"/>
    </row>
    <row r="14" spans="1:9" ht="9" customHeight="1" x14ac:dyDescent="0.2">
      <c r="A14" s="1"/>
    </row>
    <row r="15" spans="1:9" ht="15.75" x14ac:dyDescent="0.2">
      <c r="A15" s="42"/>
      <c r="B15" s="88"/>
      <c r="C15" s="89"/>
      <c r="D15" s="221" t="s">
        <v>29</v>
      </c>
      <c r="E15" s="222"/>
      <c r="F15" s="222" t="s">
        <v>27</v>
      </c>
      <c r="G15" s="222"/>
      <c r="H15" s="13"/>
      <c r="I15" s="13"/>
    </row>
    <row r="16" spans="1:9" ht="29.25" customHeight="1" x14ac:dyDescent="0.2">
      <c r="A16" s="42"/>
      <c r="B16" s="217"/>
      <c r="C16" s="218"/>
      <c r="D16" s="87" t="s">
        <v>30</v>
      </c>
      <c r="E16" s="43" t="s">
        <v>9</v>
      </c>
      <c r="F16" s="43" t="s">
        <v>30</v>
      </c>
      <c r="G16" s="43" t="s">
        <v>9</v>
      </c>
      <c r="H16" s="13"/>
      <c r="I16" s="13"/>
    </row>
    <row r="17" spans="1:9" ht="13.5" x14ac:dyDescent="0.2">
      <c r="B17" s="219" t="s">
        <v>119</v>
      </c>
      <c r="C17" s="219"/>
      <c r="D17" s="119">
        <v>297</v>
      </c>
      <c r="E17" s="118">
        <v>193953040</v>
      </c>
      <c r="F17" s="119">
        <v>3793</v>
      </c>
      <c r="G17" s="119">
        <v>361569787</v>
      </c>
    </row>
    <row r="18" spans="1:9" ht="14.25" thickBot="1" x14ac:dyDescent="0.25">
      <c r="B18" s="220" t="s">
        <v>120</v>
      </c>
      <c r="C18" s="220"/>
      <c r="D18" s="136">
        <v>249</v>
      </c>
      <c r="E18" s="137">
        <v>80685571</v>
      </c>
      <c r="F18" s="137">
        <v>2740</v>
      </c>
      <c r="G18" s="137">
        <v>417130651</v>
      </c>
    </row>
    <row r="19" spans="1:9" ht="14.25" customHeight="1" thickTop="1" x14ac:dyDescent="0.2">
      <c r="B19" s="215" t="s">
        <v>106</v>
      </c>
      <c r="C19" s="215"/>
      <c r="D19" s="98">
        <f t="shared" ref="D19:G19" si="0">(D18-D17)/ABS(D17)</f>
        <v>-0.16161616161616163</v>
      </c>
      <c r="E19" s="98">
        <f t="shared" si="0"/>
        <v>-0.58399429573261652</v>
      </c>
      <c r="F19" s="98">
        <f t="shared" si="0"/>
        <v>-0.27761666227260745</v>
      </c>
      <c r="G19" s="98">
        <f t="shared" si="0"/>
        <v>0.15366567118618238</v>
      </c>
    </row>
    <row r="21" spans="1:9" ht="45" customHeight="1" x14ac:dyDescent="0.2">
      <c r="A21" s="216" t="s">
        <v>86</v>
      </c>
      <c r="B21" s="216"/>
      <c r="C21" s="216"/>
      <c r="D21" s="216"/>
      <c r="E21" s="216"/>
      <c r="F21" s="216"/>
      <c r="G21" s="216"/>
      <c r="H21" s="216"/>
      <c r="I21" s="216"/>
    </row>
    <row r="22" spans="1:9" ht="35.25" customHeight="1" x14ac:dyDescent="0.2">
      <c r="A22" s="179" t="s">
        <v>87</v>
      </c>
      <c r="B22" s="179"/>
      <c r="C22" s="179"/>
      <c r="D22" s="179"/>
      <c r="E22" s="179"/>
      <c r="F22" s="179"/>
      <c r="G22" s="179"/>
      <c r="H22" s="179"/>
      <c r="I22" s="179"/>
    </row>
    <row r="23" spans="1:9" s="35" customFormat="1" ht="34.5" customHeight="1" x14ac:dyDescent="0.2">
      <c r="A23" s="186" t="s">
        <v>75</v>
      </c>
      <c r="B23" s="186"/>
      <c r="C23" s="186"/>
      <c r="D23" s="186"/>
      <c r="E23" s="186"/>
      <c r="F23" s="186"/>
      <c r="G23" s="186"/>
      <c r="H23" s="186"/>
      <c r="I23" s="186"/>
    </row>
    <row r="24" spans="1:9" ht="42" customHeight="1" x14ac:dyDescent="0.2">
      <c r="A24" s="185" t="s">
        <v>105</v>
      </c>
      <c r="B24" s="185"/>
      <c r="C24" s="185"/>
      <c r="D24" s="185"/>
      <c r="E24" s="185"/>
      <c r="F24" s="185"/>
      <c r="G24" s="185"/>
      <c r="H24" s="185"/>
      <c r="I24" s="185"/>
    </row>
    <row r="39" ht="33" customHeight="1" x14ac:dyDescent="0.2"/>
  </sheetData>
  <mergeCells count="18">
    <mergeCell ref="B16:C16"/>
    <mergeCell ref="B17:C17"/>
    <mergeCell ref="B18:C18"/>
    <mergeCell ref="A2:I2"/>
    <mergeCell ref="A13:I13"/>
    <mergeCell ref="D15:E15"/>
    <mergeCell ref="B5:C5"/>
    <mergeCell ref="B11:C11"/>
    <mergeCell ref="B6:C6"/>
    <mergeCell ref="B10:C10"/>
    <mergeCell ref="B7:B9"/>
    <mergeCell ref="B4:C4"/>
    <mergeCell ref="F15:G15"/>
    <mergeCell ref="B19:C19"/>
    <mergeCell ref="A21:I21"/>
    <mergeCell ref="A22:I22"/>
    <mergeCell ref="A23:I23"/>
    <mergeCell ref="A24:I24"/>
  </mergeCells>
  <pageMargins left="0.70866141732283472" right="0.70866141732283472" top="0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58"/>
  <sheetViews>
    <sheetView topLeftCell="A13" workbookViewId="0">
      <selection activeCell="A58" sqref="A58:L58"/>
    </sheetView>
  </sheetViews>
  <sheetFormatPr defaultRowHeight="12.75" x14ac:dyDescent="0.2"/>
  <cols>
    <col min="1" max="1" width="10.140625" bestFit="1" customWidth="1"/>
    <col min="3" max="3" width="11.140625" bestFit="1" customWidth="1"/>
    <col min="6" max="6" width="8.7109375" customWidth="1"/>
    <col min="7" max="7" width="17.42578125" customWidth="1"/>
    <col min="257" max="257" width="10.140625" bestFit="1" customWidth="1"/>
    <col min="259" max="259" width="11.140625" bestFit="1" customWidth="1"/>
    <col min="262" max="262" width="8.7109375" customWidth="1"/>
    <col min="263" max="263" width="17.42578125" customWidth="1"/>
    <col min="513" max="513" width="10.140625" bestFit="1" customWidth="1"/>
    <col min="515" max="515" width="11.140625" bestFit="1" customWidth="1"/>
    <col min="518" max="518" width="8.7109375" customWidth="1"/>
    <col min="519" max="519" width="17.42578125" customWidth="1"/>
    <col min="769" max="769" width="10.140625" bestFit="1" customWidth="1"/>
    <col min="771" max="771" width="11.140625" bestFit="1" customWidth="1"/>
    <col min="774" max="774" width="8.7109375" customWidth="1"/>
    <col min="775" max="775" width="17.42578125" customWidth="1"/>
    <col min="1025" max="1025" width="10.140625" bestFit="1" customWidth="1"/>
    <col min="1027" max="1027" width="11.140625" bestFit="1" customWidth="1"/>
    <col min="1030" max="1030" width="8.7109375" customWidth="1"/>
    <col min="1031" max="1031" width="17.42578125" customWidth="1"/>
    <col min="1281" max="1281" width="10.140625" bestFit="1" customWidth="1"/>
    <col min="1283" max="1283" width="11.140625" bestFit="1" customWidth="1"/>
    <col min="1286" max="1286" width="8.7109375" customWidth="1"/>
    <col min="1287" max="1287" width="17.42578125" customWidth="1"/>
    <col min="1537" max="1537" width="10.140625" bestFit="1" customWidth="1"/>
    <col min="1539" max="1539" width="11.140625" bestFit="1" customWidth="1"/>
    <col min="1542" max="1542" width="8.7109375" customWidth="1"/>
    <col min="1543" max="1543" width="17.42578125" customWidth="1"/>
    <col min="1793" max="1793" width="10.140625" bestFit="1" customWidth="1"/>
    <col min="1795" max="1795" width="11.140625" bestFit="1" customWidth="1"/>
    <col min="1798" max="1798" width="8.7109375" customWidth="1"/>
    <col min="1799" max="1799" width="17.42578125" customWidth="1"/>
    <col min="2049" max="2049" width="10.140625" bestFit="1" customWidth="1"/>
    <col min="2051" max="2051" width="11.140625" bestFit="1" customWidth="1"/>
    <col min="2054" max="2054" width="8.7109375" customWidth="1"/>
    <col min="2055" max="2055" width="17.42578125" customWidth="1"/>
    <col min="2305" max="2305" width="10.140625" bestFit="1" customWidth="1"/>
    <col min="2307" max="2307" width="11.140625" bestFit="1" customWidth="1"/>
    <col min="2310" max="2310" width="8.7109375" customWidth="1"/>
    <col min="2311" max="2311" width="17.42578125" customWidth="1"/>
    <col min="2561" max="2561" width="10.140625" bestFit="1" customWidth="1"/>
    <col min="2563" max="2563" width="11.140625" bestFit="1" customWidth="1"/>
    <col min="2566" max="2566" width="8.7109375" customWidth="1"/>
    <col min="2567" max="2567" width="17.42578125" customWidth="1"/>
    <col min="2817" max="2817" width="10.140625" bestFit="1" customWidth="1"/>
    <col min="2819" max="2819" width="11.140625" bestFit="1" customWidth="1"/>
    <col min="2822" max="2822" width="8.7109375" customWidth="1"/>
    <col min="2823" max="2823" width="17.42578125" customWidth="1"/>
    <col min="3073" max="3073" width="10.140625" bestFit="1" customWidth="1"/>
    <col min="3075" max="3075" width="11.140625" bestFit="1" customWidth="1"/>
    <col min="3078" max="3078" width="8.7109375" customWidth="1"/>
    <col min="3079" max="3079" width="17.42578125" customWidth="1"/>
    <col min="3329" max="3329" width="10.140625" bestFit="1" customWidth="1"/>
    <col min="3331" max="3331" width="11.140625" bestFit="1" customWidth="1"/>
    <col min="3334" max="3334" width="8.7109375" customWidth="1"/>
    <col min="3335" max="3335" width="17.42578125" customWidth="1"/>
    <col min="3585" max="3585" width="10.140625" bestFit="1" customWidth="1"/>
    <col min="3587" max="3587" width="11.140625" bestFit="1" customWidth="1"/>
    <col min="3590" max="3590" width="8.7109375" customWidth="1"/>
    <col min="3591" max="3591" width="17.42578125" customWidth="1"/>
    <col min="3841" max="3841" width="10.140625" bestFit="1" customWidth="1"/>
    <col min="3843" max="3843" width="11.140625" bestFit="1" customWidth="1"/>
    <col min="3846" max="3846" width="8.7109375" customWidth="1"/>
    <col min="3847" max="3847" width="17.42578125" customWidth="1"/>
    <col min="4097" max="4097" width="10.140625" bestFit="1" customWidth="1"/>
    <col min="4099" max="4099" width="11.140625" bestFit="1" customWidth="1"/>
    <col min="4102" max="4102" width="8.7109375" customWidth="1"/>
    <col min="4103" max="4103" width="17.42578125" customWidth="1"/>
    <col min="4353" max="4353" width="10.140625" bestFit="1" customWidth="1"/>
    <col min="4355" max="4355" width="11.140625" bestFit="1" customWidth="1"/>
    <col min="4358" max="4358" width="8.7109375" customWidth="1"/>
    <col min="4359" max="4359" width="17.42578125" customWidth="1"/>
    <col min="4609" max="4609" width="10.140625" bestFit="1" customWidth="1"/>
    <col min="4611" max="4611" width="11.140625" bestFit="1" customWidth="1"/>
    <col min="4614" max="4614" width="8.7109375" customWidth="1"/>
    <col min="4615" max="4615" width="17.42578125" customWidth="1"/>
    <col min="4865" max="4865" width="10.140625" bestFit="1" customWidth="1"/>
    <col min="4867" max="4867" width="11.140625" bestFit="1" customWidth="1"/>
    <col min="4870" max="4870" width="8.7109375" customWidth="1"/>
    <col min="4871" max="4871" width="17.42578125" customWidth="1"/>
    <col min="5121" max="5121" width="10.140625" bestFit="1" customWidth="1"/>
    <col min="5123" max="5123" width="11.140625" bestFit="1" customWidth="1"/>
    <col min="5126" max="5126" width="8.7109375" customWidth="1"/>
    <col min="5127" max="5127" width="17.42578125" customWidth="1"/>
    <col min="5377" max="5377" width="10.140625" bestFit="1" customWidth="1"/>
    <col min="5379" max="5379" width="11.140625" bestFit="1" customWidth="1"/>
    <col min="5382" max="5382" width="8.7109375" customWidth="1"/>
    <col min="5383" max="5383" width="17.42578125" customWidth="1"/>
    <col min="5633" max="5633" width="10.140625" bestFit="1" customWidth="1"/>
    <col min="5635" max="5635" width="11.140625" bestFit="1" customWidth="1"/>
    <col min="5638" max="5638" width="8.7109375" customWidth="1"/>
    <col min="5639" max="5639" width="17.42578125" customWidth="1"/>
    <col min="5889" max="5889" width="10.140625" bestFit="1" customWidth="1"/>
    <col min="5891" max="5891" width="11.140625" bestFit="1" customWidth="1"/>
    <col min="5894" max="5894" width="8.7109375" customWidth="1"/>
    <col min="5895" max="5895" width="17.42578125" customWidth="1"/>
    <col min="6145" max="6145" width="10.140625" bestFit="1" customWidth="1"/>
    <col min="6147" max="6147" width="11.140625" bestFit="1" customWidth="1"/>
    <col min="6150" max="6150" width="8.7109375" customWidth="1"/>
    <col min="6151" max="6151" width="17.42578125" customWidth="1"/>
    <col min="6401" max="6401" width="10.140625" bestFit="1" customWidth="1"/>
    <col min="6403" max="6403" width="11.140625" bestFit="1" customWidth="1"/>
    <col min="6406" max="6406" width="8.7109375" customWidth="1"/>
    <col min="6407" max="6407" width="17.42578125" customWidth="1"/>
    <col min="6657" max="6657" width="10.140625" bestFit="1" customWidth="1"/>
    <col min="6659" max="6659" width="11.140625" bestFit="1" customWidth="1"/>
    <col min="6662" max="6662" width="8.7109375" customWidth="1"/>
    <col min="6663" max="6663" width="17.42578125" customWidth="1"/>
    <col min="6913" max="6913" width="10.140625" bestFit="1" customWidth="1"/>
    <col min="6915" max="6915" width="11.140625" bestFit="1" customWidth="1"/>
    <col min="6918" max="6918" width="8.7109375" customWidth="1"/>
    <col min="6919" max="6919" width="17.42578125" customWidth="1"/>
    <col min="7169" max="7169" width="10.140625" bestFit="1" customWidth="1"/>
    <col min="7171" max="7171" width="11.140625" bestFit="1" customWidth="1"/>
    <col min="7174" max="7174" width="8.7109375" customWidth="1"/>
    <col min="7175" max="7175" width="17.42578125" customWidth="1"/>
    <col min="7425" max="7425" width="10.140625" bestFit="1" customWidth="1"/>
    <col min="7427" max="7427" width="11.140625" bestFit="1" customWidth="1"/>
    <col min="7430" max="7430" width="8.7109375" customWidth="1"/>
    <col min="7431" max="7431" width="17.42578125" customWidth="1"/>
    <col min="7681" max="7681" width="10.140625" bestFit="1" customWidth="1"/>
    <col min="7683" max="7683" width="11.140625" bestFit="1" customWidth="1"/>
    <col min="7686" max="7686" width="8.7109375" customWidth="1"/>
    <col min="7687" max="7687" width="17.42578125" customWidth="1"/>
    <col min="7937" max="7937" width="10.140625" bestFit="1" customWidth="1"/>
    <col min="7939" max="7939" width="11.140625" bestFit="1" customWidth="1"/>
    <col min="7942" max="7942" width="8.7109375" customWidth="1"/>
    <col min="7943" max="7943" width="17.42578125" customWidth="1"/>
    <col min="8193" max="8193" width="10.140625" bestFit="1" customWidth="1"/>
    <col min="8195" max="8195" width="11.140625" bestFit="1" customWidth="1"/>
    <col min="8198" max="8198" width="8.7109375" customWidth="1"/>
    <col min="8199" max="8199" width="17.42578125" customWidth="1"/>
    <col min="8449" max="8449" width="10.140625" bestFit="1" customWidth="1"/>
    <col min="8451" max="8451" width="11.140625" bestFit="1" customWidth="1"/>
    <col min="8454" max="8454" width="8.7109375" customWidth="1"/>
    <col min="8455" max="8455" width="17.42578125" customWidth="1"/>
    <col min="8705" max="8705" width="10.140625" bestFit="1" customWidth="1"/>
    <col min="8707" max="8707" width="11.140625" bestFit="1" customWidth="1"/>
    <col min="8710" max="8710" width="8.7109375" customWidth="1"/>
    <col min="8711" max="8711" width="17.42578125" customWidth="1"/>
    <col min="8961" max="8961" width="10.140625" bestFit="1" customWidth="1"/>
    <col min="8963" max="8963" width="11.140625" bestFit="1" customWidth="1"/>
    <col min="8966" max="8966" width="8.7109375" customWidth="1"/>
    <col min="8967" max="8967" width="17.42578125" customWidth="1"/>
    <col min="9217" max="9217" width="10.140625" bestFit="1" customWidth="1"/>
    <col min="9219" max="9219" width="11.140625" bestFit="1" customWidth="1"/>
    <col min="9222" max="9222" width="8.7109375" customWidth="1"/>
    <col min="9223" max="9223" width="17.42578125" customWidth="1"/>
    <col min="9473" max="9473" width="10.140625" bestFit="1" customWidth="1"/>
    <col min="9475" max="9475" width="11.140625" bestFit="1" customWidth="1"/>
    <col min="9478" max="9478" width="8.7109375" customWidth="1"/>
    <col min="9479" max="9479" width="17.42578125" customWidth="1"/>
    <col min="9729" max="9729" width="10.140625" bestFit="1" customWidth="1"/>
    <col min="9731" max="9731" width="11.140625" bestFit="1" customWidth="1"/>
    <col min="9734" max="9734" width="8.7109375" customWidth="1"/>
    <col min="9735" max="9735" width="17.42578125" customWidth="1"/>
    <col min="9985" max="9985" width="10.140625" bestFit="1" customWidth="1"/>
    <col min="9987" max="9987" width="11.140625" bestFit="1" customWidth="1"/>
    <col min="9990" max="9990" width="8.7109375" customWidth="1"/>
    <col min="9991" max="9991" width="17.42578125" customWidth="1"/>
    <col min="10241" max="10241" width="10.140625" bestFit="1" customWidth="1"/>
    <col min="10243" max="10243" width="11.140625" bestFit="1" customWidth="1"/>
    <col min="10246" max="10246" width="8.7109375" customWidth="1"/>
    <col min="10247" max="10247" width="17.42578125" customWidth="1"/>
    <col min="10497" max="10497" width="10.140625" bestFit="1" customWidth="1"/>
    <col min="10499" max="10499" width="11.140625" bestFit="1" customWidth="1"/>
    <col min="10502" max="10502" width="8.7109375" customWidth="1"/>
    <col min="10503" max="10503" width="17.42578125" customWidth="1"/>
    <col min="10753" max="10753" width="10.140625" bestFit="1" customWidth="1"/>
    <col min="10755" max="10755" width="11.140625" bestFit="1" customWidth="1"/>
    <col min="10758" max="10758" width="8.7109375" customWidth="1"/>
    <col min="10759" max="10759" width="17.42578125" customWidth="1"/>
    <col min="11009" max="11009" width="10.140625" bestFit="1" customWidth="1"/>
    <col min="11011" max="11011" width="11.140625" bestFit="1" customWidth="1"/>
    <col min="11014" max="11014" width="8.7109375" customWidth="1"/>
    <col min="11015" max="11015" width="17.42578125" customWidth="1"/>
    <col min="11265" max="11265" width="10.140625" bestFit="1" customWidth="1"/>
    <col min="11267" max="11267" width="11.140625" bestFit="1" customWidth="1"/>
    <col min="11270" max="11270" width="8.7109375" customWidth="1"/>
    <col min="11271" max="11271" width="17.42578125" customWidth="1"/>
    <col min="11521" max="11521" width="10.140625" bestFit="1" customWidth="1"/>
    <col min="11523" max="11523" width="11.140625" bestFit="1" customWidth="1"/>
    <col min="11526" max="11526" width="8.7109375" customWidth="1"/>
    <col min="11527" max="11527" width="17.42578125" customWidth="1"/>
    <col min="11777" max="11777" width="10.140625" bestFit="1" customWidth="1"/>
    <col min="11779" max="11779" width="11.140625" bestFit="1" customWidth="1"/>
    <col min="11782" max="11782" width="8.7109375" customWidth="1"/>
    <col min="11783" max="11783" width="17.42578125" customWidth="1"/>
    <col min="12033" max="12033" width="10.140625" bestFit="1" customWidth="1"/>
    <col min="12035" max="12035" width="11.140625" bestFit="1" customWidth="1"/>
    <col min="12038" max="12038" width="8.7109375" customWidth="1"/>
    <col min="12039" max="12039" width="17.42578125" customWidth="1"/>
    <col min="12289" max="12289" width="10.140625" bestFit="1" customWidth="1"/>
    <col min="12291" max="12291" width="11.140625" bestFit="1" customWidth="1"/>
    <col min="12294" max="12294" width="8.7109375" customWidth="1"/>
    <col min="12295" max="12295" width="17.42578125" customWidth="1"/>
    <col min="12545" max="12545" width="10.140625" bestFit="1" customWidth="1"/>
    <col min="12547" max="12547" width="11.140625" bestFit="1" customWidth="1"/>
    <col min="12550" max="12550" width="8.7109375" customWidth="1"/>
    <col min="12551" max="12551" width="17.42578125" customWidth="1"/>
    <col min="12801" max="12801" width="10.140625" bestFit="1" customWidth="1"/>
    <col min="12803" max="12803" width="11.140625" bestFit="1" customWidth="1"/>
    <col min="12806" max="12806" width="8.7109375" customWidth="1"/>
    <col min="12807" max="12807" width="17.42578125" customWidth="1"/>
    <col min="13057" max="13057" width="10.140625" bestFit="1" customWidth="1"/>
    <col min="13059" max="13059" width="11.140625" bestFit="1" customWidth="1"/>
    <col min="13062" max="13062" width="8.7109375" customWidth="1"/>
    <col min="13063" max="13063" width="17.42578125" customWidth="1"/>
    <col min="13313" max="13313" width="10.140625" bestFit="1" customWidth="1"/>
    <col min="13315" max="13315" width="11.140625" bestFit="1" customWidth="1"/>
    <col min="13318" max="13318" width="8.7109375" customWidth="1"/>
    <col min="13319" max="13319" width="17.42578125" customWidth="1"/>
    <col min="13569" max="13569" width="10.140625" bestFit="1" customWidth="1"/>
    <col min="13571" max="13571" width="11.140625" bestFit="1" customWidth="1"/>
    <col min="13574" max="13574" width="8.7109375" customWidth="1"/>
    <col min="13575" max="13575" width="17.42578125" customWidth="1"/>
    <col min="13825" max="13825" width="10.140625" bestFit="1" customWidth="1"/>
    <col min="13827" max="13827" width="11.140625" bestFit="1" customWidth="1"/>
    <col min="13830" max="13830" width="8.7109375" customWidth="1"/>
    <col min="13831" max="13831" width="17.42578125" customWidth="1"/>
    <col min="14081" max="14081" width="10.140625" bestFit="1" customWidth="1"/>
    <col min="14083" max="14083" width="11.140625" bestFit="1" customWidth="1"/>
    <col min="14086" max="14086" width="8.7109375" customWidth="1"/>
    <col min="14087" max="14087" width="17.42578125" customWidth="1"/>
    <col min="14337" max="14337" width="10.140625" bestFit="1" customWidth="1"/>
    <col min="14339" max="14339" width="11.140625" bestFit="1" customWidth="1"/>
    <col min="14342" max="14342" width="8.7109375" customWidth="1"/>
    <col min="14343" max="14343" width="17.42578125" customWidth="1"/>
    <col min="14593" max="14593" width="10.140625" bestFit="1" customWidth="1"/>
    <col min="14595" max="14595" width="11.140625" bestFit="1" customWidth="1"/>
    <col min="14598" max="14598" width="8.7109375" customWidth="1"/>
    <col min="14599" max="14599" width="17.42578125" customWidth="1"/>
    <col min="14849" max="14849" width="10.140625" bestFit="1" customWidth="1"/>
    <col min="14851" max="14851" width="11.140625" bestFit="1" customWidth="1"/>
    <col min="14854" max="14854" width="8.7109375" customWidth="1"/>
    <col min="14855" max="14855" width="17.42578125" customWidth="1"/>
    <col min="15105" max="15105" width="10.140625" bestFit="1" customWidth="1"/>
    <col min="15107" max="15107" width="11.140625" bestFit="1" customWidth="1"/>
    <col min="15110" max="15110" width="8.7109375" customWidth="1"/>
    <col min="15111" max="15111" width="17.42578125" customWidth="1"/>
    <col min="15361" max="15361" width="10.140625" bestFit="1" customWidth="1"/>
    <col min="15363" max="15363" width="11.140625" bestFit="1" customWidth="1"/>
    <col min="15366" max="15366" width="8.7109375" customWidth="1"/>
    <col min="15367" max="15367" width="17.42578125" customWidth="1"/>
    <col min="15617" max="15617" width="10.140625" bestFit="1" customWidth="1"/>
    <col min="15619" max="15619" width="11.140625" bestFit="1" customWidth="1"/>
    <col min="15622" max="15622" width="8.7109375" customWidth="1"/>
    <col min="15623" max="15623" width="17.42578125" customWidth="1"/>
    <col min="15873" max="15873" width="10.140625" bestFit="1" customWidth="1"/>
    <col min="15875" max="15875" width="11.140625" bestFit="1" customWidth="1"/>
    <col min="15878" max="15878" width="8.7109375" customWidth="1"/>
    <col min="15879" max="15879" width="17.42578125" customWidth="1"/>
    <col min="16129" max="16129" width="10.140625" bestFit="1" customWidth="1"/>
    <col min="16131" max="16131" width="11.140625" bestFit="1" customWidth="1"/>
    <col min="16134" max="16134" width="8.7109375" customWidth="1"/>
    <col min="16135" max="16135" width="17.42578125" customWidth="1"/>
  </cols>
  <sheetData>
    <row r="11" spans="1:10" ht="39" customHeight="1" x14ac:dyDescent="0.2">
      <c r="A11" s="212" t="s">
        <v>102</v>
      </c>
      <c r="B11" s="212"/>
      <c r="C11" s="212"/>
      <c r="D11" s="212"/>
      <c r="E11" s="212"/>
      <c r="F11" s="212"/>
      <c r="G11" s="212"/>
      <c r="H11" s="212"/>
      <c r="I11" s="212"/>
      <c r="J11" s="212"/>
    </row>
    <row r="26" spans="1:3" x14ac:dyDescent="0.2">
      <c r="A26" s="104"/>
      <c r="C26" s="11"/>
    </row>
    <row r="27" spans="1:3" x14ac:dyDescent="0.2">
      <c r="C27" s="11"/>
    </row>
    <row r="28" spans="1:3" x14ac:dyDescent="0.2">
      <c r="C28" s="11"/>
    </row>
    <row r="29" spans="1:3" x14ac:dyDescent="0.2">
      <c r="C29" s="11"/>
    </row>
    <row r="30" spans="1:3" x14ac:dyDescent="0.2">
      <c r="C30" s="11"/>
    </row>
    <row r="31" spans="1:3" x14ac:dyDescent="0.2">
      <c r="C31" s="11"/>
    </row>
    <row r="32" spans="1:3" x14ac:dyDescent="0.2">
      <c r="C32" s="11"/>
    </row>
    <row r="33" spans="1:7" x14ac:dyDescent="0.2">
      <c r="C33" s="11"/>
    </row>
    <row r="34" spans="1:7" x14ac:dyDescent="0.2">
      <c r="C34" s="11"/>
    </row>
    <row r="35" spans="1:7" x14ac:dyDescent="0.2">
      <c r="C35" s="11"/>
    </row>
    <row r="36" spans="1:7" x14ac:dyDescent="0.2">
      <c r="C36" s="11"/>
    </row>
    <row r="38" spans="1:7" x14ac:dyDescent="0.2">
      <c r="A38" t="s">
        <v>55</v>
      </c>
    </row>
    <row r="41" spans="1:7" x14ac:dyDescent="0.2">
      <c r="F41" t="s">
        <v>30</v>
      </c>
      <c r="G41" t="s">
        <v>34</v>
      </c>
    </row>
    <row r="42" spans="1:7" x14ac:dyDescent="0.2">
      <c r="E42" t="s">
        <v>35</v>
      </c>
      <c r="F42" s="105">
        <v>2309</v>
      </c>
      <c r="G42" s="106">
        <v>48</v>
      </c>
    </row>
    <row r="43" spans="1:7" x14ac:dyDescent="0.2">
      <c r="E43" t="s">
        <v>36</v>
      </c>
      <c r="F43" s="105">
        <v>2968</v>
      </c>
      <c r="G43" s="106">
        <v>66.599999999999994</v>
      </c>
    </row>
    <row r="44" spans="1:7" x14ac:dyDescent="0.2">
      <c r="E44" t="s">
        <v>37</v>
      </c>
      <c r="F44" s="105">
        <v>3070</v>
      </c>
      <c r="G44" s="106">
        <v>76</v>
      </c>
    </row>
    <row r="45" spans="1:7" x14ac:dyDescent="0.2">
      <c r="E45" t="s">
        <v>38</v>
      </c>
      <c r="F45" s="105">
        <v>2941</v>
      </c>
      <c r="G45" s="106">
        <v>62.5</v>
      </c>
    </row>
    <row r="46" spans="1:7" x14ac:dyDescent="0.2">
      <c r="E46" t="s">
        <v>39</v>
      </c>
      <c r="F46" s="105">
        <v>2616</v>
      </c>
      <c r="G46" s="106">
        <v>52.6</v>
      </c>
    </row>
    <row r="47" spans="1:7" x14ac:dyDescent="0.2">
      <c r="E47" t="s">
        <v>40</v>
      </c>
      <c r="F47" s="105">
        <v>3281</v>
      </c>
      <c r="G47" s="106">
        <v>72.400000000000006</v>
      </c>
    </row>
    <row r="48" spans="1:7" x14ac:dyDescent="0.2">
      <c r="E48" s="104" t="s">
        <v>41</v>
      </c>
      <c r="F48" s="105">
        <v>2934</v>
      </c>
      <c r="G48" s="106">
        <v>68.3</v>
      </c>
    </row>
    <row r="49" spans="1:12" x14ac:dyDescent="0.2">
      <c r="E49" t="s">
        <v>58</v>
      </c>
      <c r="F49" s="105">
        <v>3036</v>
      </c>
      <c r="G49" s="106">
        <v>58.3</v>
      </c>
    </row>
    <row r="50" spans="1:12" x14ac:dyDescent="0.2">
      <c r="E50" t="s">
        <v>60</v>
      </c>
      <c r="F50" s="105">
        <v>2431</v>
      </c>
      <c r="G50" s="106">
        <v>48.2</v>
      </c>
    </row>
    <row r="51" spans="1:12" x14ac:dyDescent="0.2">
      <c r="E51" t="s">
        <v>61</v>
      </c>
      <c r="F51" s="105">
        <v>3292</v>
      </c>
      <c r="G51" s="106">
        <v>78.7</v>
      </c>
    </row>
    <row r="52" spans="1:12" x14ac:dyDescent="0.2">
      <c r="E52" t="s">
        <v>62</v>
      </c>
      <c r="F52" s="105">
        <v>3074</v>
      </c>
      <c r="G52" s="106">
        <v>73.8</v>
      </c>
    </row>
    <row r="53" spans="1:12" x14ac:dyDescent="0.2">
      <c r="E53" t="s">
        <v>69</v>
      </c>
      <c r="F53" s="105">
        <v>3196</v>
      </c>
      <c r="G53" s="106">
        <v>66.099999999999994</v>
      </c>
    </row>
    <row r="54" spans="1:12" x14ac:dyDescent="0.2">
      <c r="E54" t="s">
        <v>70</v>
      </c>
      <c r="F54" s="105">
        <v>2532</v>
      </c>
      <c r="G54" s="106">
        <v>58.362986999999997</v>
      </c>
    </row>
    <row r="55" spans="1:12" x14ac:dyDescent="0.2">
      <c r="E55" t="s">
        <v>90</v>
      </c>
      <c r="F55" s="105">
        <v>1947</v>
      </c>
      <c r="G55" s="106">
        <v>61.9</v>
      </c>
    </row>
    <row r="56" spans="1:12" x14ac:dyDescent="0.2">
      <c r="E56" t="s">
        <v>107</v>
      </c>
      <c r="F56" s="105">
        <v>1837</v>
      </c>
      <c r="G56" s="106">
        <v>56.7</v>
      </c>
    </row>
    <row r="57" spans="1:12" x14ac:dyDescent="0.2">
      <c r="E57" t="s">
        <v>131</v>
      </c>
      <c r="F57" s="105">
        <v>1674</v>
      </c>
      <c r="G57" s="106">
        <v>48.244079999999997</v>
      </c>
    </row>
    <row r="58" spans="1:12" x14ac:dyDescent="0.2">
      <c r="A58" s="214" t="s">
        <v>135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</row>
  </sheetData>
  <mergeCells count="2">
    <mergeCell ref="A11:J11"/>
    <mergeCell ref="A58:L58"/>
  </mergeCells>
  <conditionalFormatting sqref="F42:F57">
    <cfRule type="top10" dxfId="2" priority="5" percent="1" rank="10"/>
    <cfRule type="cellIs" dxfId="1" priority="6" operator="greaterThan">
      <formula>1664.5</formula>
    </cfRule>
    <cfRule type="top10" dxfId="0" priority="7" percent="1" rank="10"/>
    <cfRule type="iconSet" priority="8">
      <iconSet iconSet="3Arrows">
        <cfvo type="percent" val="0"/>
        <cfvo type="percent" val="33"/>
        <cfvo type="percent" val="67"/>
      </iconSet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{667DA562-9CEB-42ED-910F-51CC75F078EA}</x14:id>
        </ext>
      </extLst>
    </cfRule>
  </conditionalFormatting>
  <conditionalFormatting sqref="F42:F5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G42:G57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{339EB588-0471-4DD6-9554-F732673AA7C6}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7DA562-9CEB-42ED-910F-51CC75F078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F42:F57</xm:sqref>
        </x14:conditionalFormatting>
        <x14:conditionalFormatting xmlns:xm="http://schemas.microsoft.com/office/excel/2006/main">
          <x14:cfRule type="dataBar" id="{339EB588-0471-4DD6-9554-F732673AA7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G42:G57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57"/>
  <sheetViews>
    <sheetView topLeftCell="A13" workbookViewId="0">
      <selection activeCell="A57" sqref="A57:L57"/>
    </sheetView>
  </sheetViews>
  <sheetFormatPr defaultRowHeight="12.75" x14ac:dyDescent="0.2"/>
  <sheetData>
    <row r="11" spans="1:13" ht="39" customHeight="1" x14ac:dyDescent="0.2">
      <c r="A11" s="212" t="s">
        <v>103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36" spans="1:14" ht="30" customHeight="1" x14ac:dyDescent="0.2">
      <c r="A36" s="213" t="s">
        <v>57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9" spans="1:14" x14ac:dyDescent="0.2">
      <c r="B39" t="s">
        <v>47</v>
      </c>
      <c r="C39" t="s">
        <v>48</v>
      </c>
      <c r="D39" t="s">
        <v>49</v>
      </c>
    </row>
    <row r="40" spans="1:14" x14ac:dyDescent="0.2">
      <c r="A40" t="s">
        <v>35</v>
      </c>
      <c r="B40" s="109">
        <v>2309</v>
      </c>
      <c r="C40" s="109">
        <v>54</v>
      </c>
      <c r="D40" s="109">
        <v>320</v>
      </c>
      <c r="F40">
        <f>B40-(C40+D40)</f>
        <v>1935</v>
      </c>
      <c r="J40" s="111" t="s">
        <v>50</v>
      </c>
      <c r="K40" s="111" t="s">
        <v>51</v>
      </c>
      <c r="L40" s="111" t="s">
        <v>54</v>
      </c>
    </row>
    <row r="41" spans="1:14" x14ac:dyDescent="0.2">
      <c r="A41" t="s">
        <v>36</v>
      </c>
      <c r="B41" s="109">
        <v>2968</v>
      </c>
      <c r="C41" s="109">
        <v>105</v>
      </c>
      <c r="D41" s="109">
        <v>413</v>
      </c>
      <c r="E41" s="109"/>
      <c r="F41" s="109">
        <f t="shared" ref="F41:F55" si="0">B41-(C41+D41)</f>
        <v>2450</v>
      </c>
      <c r="I41" t="s">
        <v>35</v>
      </c>
      <c r="J41" s="59">
        <f t="shared" ref="J41:J47" si="1">C40/B40</f>
        <v>2.3386747509744479E-2</v>
      </c>
      <c r="K41" s="59">
        <f t="shared" ref="K41:K47" si="2">D40/B40</f>
        <v>0.13858813339107839</v>
      </c>
      <c r="L41" s="59">
        <f t="shared" ref="L41:L47" si="3">F40/B40</f>
        <v>0.8380251190991771</v>
      </c>
    </row>
    <row r="42" spans="1:14" x14ac:dyDescent="0.2">
      <c r="A42" t="s">
        <v>37</v>
      </c>
      <c r="B42" s="109">
        <v>3070</v>
      </c>
      <c r="C42" s="109">
        <v>100</v>
      </c>
      <c r="D42" s="109">
        <v>411</v>
      </c>
      <c r="E42" s="109"/>
      <c r="F42" s="109">
        <f t="shared" si="0"/>
        <v>2559</v>
      </c>
      <c r="I42" t="s">
        <v>36</v>
      </c>
      <c r="J42" s="59">
        <f t="shared" si="1"/>
        <v>3.5377358490566037E-2</v>
      </c>
      <c r="K42" s="59">
        <f t="shared" si="2"/>
        <v>0.13915094339622641</v>
      </c>
      <c r="L42" s="59">
        <f t="shared" si="3"/>
        <v>0.82547169811320753</v>
      </c>
    </row>
    <row r="43" spans="1:14" x14ac:dyDescent="0.2">
      <c r="A43" t="s">
        <v>38</v>
      </c>
      <c r="B43" s="109">
        <v>2941</v>
      </c>
      <c r="C43" s="109">
        <v>63</v>
      </c>
      <c r="D43" s="109">
        <v>295</v>
      </c>
      <c r="E43" s="109"/>
      <c r="F43" s="109">
        <f t="shared" si="0"/>
        <v>2583</v>
      </c>
      <c r="I43" t="s">
        <v>37</v>
      </c>
      <c r="J43" s="59">
        <f t="shared" si="1"/>
        <v>3.2573289902280131E-2</v>
      </c>
      <c r="K43" s="59">
        <f t="shared" si="2"/>
        <v>0.13387622149837133</v>
      </c>
      <c r="L43" s="59">
        <f t="shared" si="3"/>
        <v>0.83355048859934855</v>
      </c>
    </row>
    <row r="44" spans="1:14" x14ac:dyDescent="0.2">
      <c r="A44" t="s">
        <v>39</v>
      </c>
      <c r="B44" s="109">
        <v>2616</v>
      </c>
      <c r="C44" s="109">
        <v>66</v>
      </c>
      <c r="D44" s="109">
        <v>300</v>
      </c>
      <c r="E44" s="109"/>
      <c r="F44" s="109">
        <f t="shared" si="0"/>
        <v>2250</v>
      </c>
      <c r="I44" t="s">
        <v>38</v>
      </c>
      <c r="J44" s="59">
        <f t="shared" si="1"/>
        <v>2.1421285277116626E-2</v>
      </c>
      <c r="K44" s="59">
        <f t="shared" si="2"/>
        <v>0.10030601836110166</v>
      </c>
      <c r="L44" s="59">
        <f t="shared" si="3"/>
        <v>0.87827269636178174</v>
      </c>
    </row>
    <row r="45" spans="1:14" x14ac:dyDescent="0.2">
      <c r="A45" t="s">
        <v>40</v>
      </c>
      <c r="B45" s="109">
        <v>3281</v>
      </c>
      <c r="C45" s="109">
        <v>124</v>
      </c>
      <c r="D45" s="109">
        <v>304</v>
      </c>
      <c r="E45" s="109"/>
      <c r="F45" s="109">
        <f t="shared" si="0"/>
        <v>2853</v>
      </c>
      <c r="I45" t="s">
        <v>39</v>
      </c>
      <c r="J45" s="59">
        <f t="shared" si="1"/>
        <v>2.5229357798165139E-2</v>
      </c>
      <c r="K45" s="59">
        <f t="shared" si="2"/>
        <v>0.11467889908256881</v>
      </c>
      <c r="L45" s="59">
        <f t="shared" si="3"/>
        <v>0.86009174311926606</v>
      </c>
    </row>
    <row r="46" spans="1:14" x14ac:dyDescent="0.2">
      <c r="A46" s="104" t="s">
        <v>41</v>
      </c>
      <c r="B46" s="109">
        <v>2934</v>
      </c>
      <c r="C46" s="109">
        <v>83</v>
      </c>
      <c r="D46" s="109">
        <v>222</v>
      </c>
      <c r="E46" s="109"/>
      <c r="F46" s="109">
        <f t="shared" si="0"/>
        <v>2629</v>
      </c>
      <c r="I46" t="s">
        <v>40</v>
      </c>
      <c r="J46" s="59">
        <f t="shared" si="1"/>
        <v>3.7793355684242608E-2</v>
      </c>
      <c r="K46" s="59">
        <f t="shared" si="2"/>
        <v>9.2654678451691563E-2</v>
      </c>
      <c r="L46" s="59">
        <f t="shared" si="3"/>
        <v>0.8695519658640658</v>
      </c>
    </row>
    <row r="47" spans="1:14" x14ac:dyDescent="0.2">
      <c r="A47" t="s">
        <v>58</v>
      </c>
      <c r="B47" s="109">
        <v>3036</v>
      </c>
      <c r="C47" s="109">
        <v>91</v>
      </c>
      <c r="D47" s="109">
        <v>234</v>
      </c>
      <c r="F47" s="109">
        <f t="shared" si="0"/>
        <v>2711</v>
      </c>
      <c r="I47" s="104" t="s">
        <v>41</v>
      </c>
      <c r="J47" s="59">
        <f t="shared" si="1"/>
        <v>2.8289025221540559E-2</v>
      </c>
      <c r="K47" s="59">
        <f t="shared" si="2"/>
        <v>7.5664621676891614E-2</v>
      </c>
      <c r="L47" s="59">
        <f t="shared" si="3"/>
        <v>0.89604635310156777</v>
      </c>
    </row>
    <row r="48" spans="1:14" x14ac:dyDescent="0.2">
      <c r="A48" t="s">
        <v>60</v>
      </c>
      <c r="B48" s="109">
        <v>2431</v>
      </c>
      <c r="C48" s="109">
        <v>81</v>
      </c>
      <c r="D48" s="109">
        <v>138</v>
      </c>
      <c r="F48" s="109">
        <f t="shared" si="0"/>
        <v>2212</v>
      </c>
      <c r="I48" t="s">
        <v>58</v>
      </c>
      <c r="J48" s="114">
        <f t="shared" ref="J48:J53" si="4">C47/B47</f>
        <v>2.9973649538866932E-2</v>
      </c>
      <c r="K48" s="114">
        <f t="shared" ref="K48:K53" si="5">D47/B47</f>
        <v>7.7075098814229248E-2</v>
      </c>
      <c r="L48" s="114">
        <f t="shared" ref="L48:L53" si="6">F47/B47</f>
        <v>0.89295125164690381</v>
      </c>
    </row>
    <row r="49" spans="1:12" x14ac:dyDescent="0.2">
      <c r="A49" t="s">
        <v>61</v>
      </c>
      <c r="B49" s="109">
        <v>3292</v>
      </c>
      <c r="C49" s="109">
        <v>131</v>
      </c>
      <c r="D49" s="109">
        <v>219</v>
      </c>
      <c r="F49" s="109">
        <f t="shared" si="0"/>
        <v>2942</v>
      </c>
      <c r="I49" t="s">
        <v>60</v>
      </c>
      <c r="J49" s="114">
        <f t="shared" si="4"/>
        <v>3.331962155491567E-2</v>
      </c>
      <c r="K49" s="114">
        <f t="shared" si="5"/>
        <v>5.6766762649115593E-2</v>
      </c>
      <c r="L49" s="114">
        <f t="shared" si="6"/>
        <v>0.90991361579596874</v>
      </c>
    </row>
    <row r="50" spans="1:12" x14ac:dyDescent="0.2">
      <c r="A50" t="s">
        <v>62</v>
      </c>
      <c r="B50" s="109">
        <v>3074</v>
      </c>
      <c r="C50" s="109">
        <v>100</v>
      </c>
      <c r="D50" s="109">
        <v>234</v>
      </c>
      <c r="F50" s="109">
        <f t="shared" si="0"/>
        <v>2740</v>
      </c>
      <c r="I50" t="s">
        <v>61</v>
      </c>
      <c r="J50" s="114">
        <f t="shared" si="4"/>
        <v>3.9793438639125149E-2</v>
      </c>
      <c r="K50" s="114">
        <f t="shared" si="5"/>
        <v>6.6524908869987853E-2</v>
      </c>
      <c r="L50" s="114">
        <f t="shared" si="6"/>
        <v>0.89368165249088705</v>
      </c>
    </row>
    <row r="51" spans="1:12" x14ac:dyDescent="0.2">
      <c r="A51" t="s">
        <v>69</v>
      </c>
      <c r="B51" s="109">
        <v>3196</v>
      </c>
      <c r="C51" s="109">
        <v>86</v>
      </c>
      <c r="D51" s="109">
        <v>318</v>
      </c>
      <c r="F51" s="109">
        <f t="shared" si="0"/>
        <v>2792</v>
      </c>
      <c r="I51" t="s">
        <v>62</v>
      </c>
      <c r="J51" s="114">
        <f t="shared" si="4"/>
        <v>3.2530904359141181E-2</v>
      </c>
      <c r="K51" s="114">
        <f t="shared" si="5"/>
        <v>7.6122316200390366E-2</v>
      </c>
      <c r="L51" s="114">
        <f t="shared" si="6"/>
        <v>0.89134677944046847</v>
      </c>
    </row>
    <row r="52" spans="1:12" x14ac:dyDescent="0.2">
      <c r="A52" t="s">
        <v>70</v>
      </c>
      <c r="B52" s="109">
        <v>2532</v>
      </c>
      <c r="C52" s="109">
        <v>70</v>
      </c>
      <c r="D52" s="109">
        <v>302</v>
      </c>
      <c r="F52" s="109">
        <f t="shared" si="0"/>
        <v>2160</v>
      </c>
      <c r="I52" t="s">
        <v>69</v>
      </c>
      <c r="J52" s="140">
        <f t="shared" si="4"/>
        <v>2.6908635794743431E-2</v>
      </c>
      <c r="K52" s="140">
        <f t="shared" si="5"/>
        <v>9.9499374217772218E-2</v>
      </c>
      <c r="L52" s="140">
        <f t="shared" si="6"/>
        <v>0.87359198998748433</v>
      </c>
    </row>
    <row r="53" spans="1:12" x14ac:dyDescent="0.2">
      <c r="A53" t="s">
        <v>90</v>
      </c>
      <c r="B53" s="109">
        <v>1947</v>
      </c>
      <c r="C53" s="109">
        <v>61</v>
      </c>
      <c r="D53" s="109">
        <v>266</v>
      </c>
      <c r="F53" s="109">
        <f t="shared" si="0"/>
        <v>1620</v>
      </c>
      <c r="I53" t="s">
        <v>70</v>
      </c>
      <c r="J53" s="140">
        <f t="shared" si="4"/>
        <v>2.7646129541864139E-2</v>
      </c>
      <c r="K53" s="140">
        <f t="shared" si="5"/>
        <v>0.11927330173775672</v>
      </c>
      <c r="L53" s="140">
        <f t="shared" si="6"/>
        <v>0.85308056872037918</v>
      </c>
    </row>
    <row r="54" spans="1:12" x14ac:dyDescent="0.2">
      <c r="A54" t="s">
        <v>107</v>
      </c>
      <c r="B54" s="109">
        <v>1837</v>
      </c>
      <c r="C54" s="109">
        <v>74</v>
      </c>
      <c r="D54" s="109">
        <v>302</v>
      </c>
      <c r="F54" s="109">
        <f t="shared" si="0"/>
        <v>1461</v>
      </c>
      <c r="I54" t="s">
        <v>90</v>
      </c>
      <c r="J54" s="140">
        <f>C53/B53</f>
        <v>3.133025166923472E-2</v>
      </c>
      <c r="K54" s="140">
        <f>D53/B53</f>
        <v>0.13662044170518747</v>
      </c>
      <c r="L54" s="140">
        <f>F53/B53</f>
        <v>0.83204930662557786</v>
      </c>
    </row>
    <row r="55" spans="1:12" x14ac:dyDescent="0.2">
      <c r="A55" t="s">
        <v>131</v>
      </c>
      <c r="B55" s="109">
        <v>1674</v>
      </c>
      <c r="C55" s="109">
        <v>82</v>
      </c>
      <c r="D55" s="109">
        <v>203</v>
      </c>
      <c r="F55" s="109">
        <f t="shared" si="0"/>
        <v>1389</v>
      </c>
      <c r="I55" t="s">
        <v>107</v>
      </c>
      <c r="J55" s="140">
        <f>C54/B54</f>
        <v>4.0283070223189985E-2</v>
      </c>
      <c r="K55" s="140">
        <f>D54/B54</f>
        <v>0.16439847577572128</v>
      </c>
      <c r="L55" s="140">
        <f>F54/B54</f>
        <v>0.79531845400108869</v>
      </c>
    </row>
    <row r="56" spans="1:12" x14ac:dyDescent="0.2">
      <c r="I56" t="s">
        <v>131</v>
      </c>
      <c r="J56" s="140">
        <f>C55/B55</f>
        <v>4.8984468339307051E-2</v>
      </c>
      <c r="K56" s="140">
        <f>D55/B55</f>
        <v>0.12126642771804062</v>
      </c>
      <c r="L56" s="140">
        <f>F55/B55</f>
        <v>0.82974910394265233</v>
      </c>
    </row>
    <row r="57" spans="1:12" x14ac:dyDescent="0.2">
      <c r="A57" s="214" t="s">
        <v>135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</row>
  </sheetData>
  <mergeCells count="3">
    <mergeCell ref="A11:M11"/>
    <mergeCell ref="A57:L57"/>
    <mergeCell ref="A36:N36"/>
  </mergeCells>
  <conditionalFormatting sqref="J41:J56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{61DED477-BA1F-4595-9D38-E4D65118CC3C}</x14:id>
        </ext>
      </extLst>
    </cfRule>
  </conditionalFormatting>
  <conditionalFormatting sqref="K41:K56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{41B2D9FF-71A4-4666-87F0-0D55BD6E159B}</x14:id>
        </ext>
      </extLst>
    </cfRule>
  </conditionalFormatting>
  <conditionalFormatting sqref="L41:L56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{E2004326-6E4F-411C-A03D-6CF79EA2D3FA}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DED477-BA1F-4595-9D38-E4D65118CC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J41:J56</xm:sqref>
        </x14:conditionalFormatting>
        <x14:conditionalFormatting xmlns:xm="http://schemas.microsoft.com/office/excel/2006/main">
          <x14:cfRule type="dataBar" id="{41B2D9FF-71A4-4666-87F0-0D55BD6E15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K41:K56</xm:sqref>
        </x14:conditionalFormatting>
        <x14:conditionalFormatting xmlns:xm="http://schemas.microsoft.com/office/excel/2006/main">
          <x14:cfRule type="dataBar" id="{E2004326-6E4F-411C-A03D-6CF79EA2D3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L41:L56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57"/>
  <sheetViews>
    <sheetView topLeftCell="A13" workbookViewId="0">
      <selection activeCell="I61" sqref="I61"/>
    </sheetView>
  </sheetViews>
  <sheetFormatPr defaultRowHeight="12.75" x14ac:dyDescent="0.2"/>
  <cols>
    <col min="2" max="2" width="10.5703125" customWidth="1"/>
    <col min="3" max="3" width="10.28515625" customWidth="1"/>
    <col min="4" max="4" width="9.85546875" customWidth="1"/>
    <col min="5" max="5" width="7.5703125" customWidth="1"/>
    <col min="6" max="6" width="12.42578125" customWidth="1"/>
  </cols>
  <sheetData>
    <row r="11" spans="1:13" ht="39" customHeight="1" x14ac:dyDescent="0.2">
      <c r="A11" s="212" t="s">
        <v>104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37" spans="1:14" ht="26.25" customHeight="1" x14ac:dyDescent="0.2">
      <c r="A37" s="213" t="s">
        <v>56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9" spans="1:14" x14ac:dyDescent="0.2">
      <c r="B39" t="s">
        <v>68</v>
      </c>
      <c r="C39" t="s">
        <v>66</v>
      </c>
      <c r="D39" t="s">
        <v>65</v>
      </c>
      <c r="F39" t="s">
        <v>63</v>
      </c>
    </row>
    <row r="40" spans="1:14" x14ac:dyDescent="0.2">
      <c r="A40" t="s">
        <v>35</v>
      </c>
      <c r="B40" s="115">
        <v>47966031</v>
      </c>
      <c r="C40" s="115">
        <v>1396497</v>
      </c>
      <c r="D40" s="115">
        <v>8383675</v>
      </c>
      <c r="F40">
        <f>B40-(C40+D40)</f>
        <v>38185859</v>
      </c>
      <c r="J40" s="111" t="s">
        <v>50</v>
      </c>
      <c r="K40" s="111" t="s">
        <v>51</v>
      </c>
      <c r="L40" s="111" t="s">
        <v>54</v>
      </c>
    </row>
    <row r="41" spans="1:14" x14ac:dyDescent="0.2">
      <c r="A41" t="s">
        <v>36</v>
      </c>
      <c r="B41" s="109">
        <v>66568031</v>
      </c>
      <c r="C41" s="109">
        <v>3700215</v>
      </c>
      <c r="D41" s="109">
        <v>9376031</v>
      </c>
      <c r="E41" s="109"/>
      <c r="F41" s="109">
        <f t="shared" ref="F41:F55" si="0">B41-(C41+D41)</f>
        <v>53491785</v>
      </c>
      <c r="I41" t="s">
        <v>35</v>
      </c>
      <c r="J41" s="59">
        <f t="shared" ref="J41:J47" si="1">C40/B40</f>
        <v>2.9114291320038548E-2</v>
      </c>
      <c r="K41" s="59">
        <f t="shared" ref="K41:K47" si="2">D40/B40</f>
        <v>0.17478358799376167</v>
      </c>
      <c r="L41" s="59">
        <f t="shared" ref="L41:L47" si="3">F40/B40</f>
        <v>0.79610212068619979</v>
      </c>
    </row>
    <row r="42" spans="1:14" x14ac:dyDescent="0.2">
      <c r="A42" t="s">
        <v>37</v>
      </c>
      <c r="B42" s="109">
        <v>75995659</v>
      </c>
      <c r="C42" s="109">
        <v>4205970</v>
      </c>
      <c r="D42" s="109">
        <v>11519012</v>
      </c>
      <c r="E42" s="109"/>
      <c r="F42" s="109">
        <f t="shared" si="0"/>
        <v>60270677</v>
      </c>
      <c r="I42" t="s">
        <v>36</v>
      </c>
      <c r="J42" s="59">
        <f t="shared" si="1"/>
        <v>5.5585465641908499E-2</v>
      </c>
      <c r="K42" s="59">
        <f t="shared" si="2"/>
        <v>0.14084885581188364</v>
      </c>
      <c r="L42" s="59">
        <f t="shared" si="3"/>
        <v>0.80356567854620786</v>
      </c>
    </row>
    <row r="43" spans="1:14" x14ac:dyDescent="0.2">
      <c r="A43" t="s">
        <v>38</v>
      </c>
      <c r="B43" s="109">
        <v>62486358</v>
      </c>
      <c r="C43" s="109">
        <v>1856803</v>
      </c>
      <c r="D43" s="109">
        <v>7232009</v>
      </c>
      <c r="E43" s="109"/>
      <c r="F43" s="109">
        <f t="shared" si="0"/>
        <v>53397546</v>
      </c>
      <c r="I43" t="s">
        <v>37</v>
      </c>
      <c r="J43" s="59">
        <f t="shared" si="1"/>
        <v>5.5344871738002822E-2</v>
      </c>
      <c r="K43" s="59">
        <f t="shared" si="2"/>
        <v>0.15157460507053436</v>
      </c>
      <c r="L43" s="59">
        <f t="shared" si="3"/>
        <v>0.79308052319146283</v>
      </c>
    </row>
    <row r="44" spans="1:14" x14ac:dyDescent="0.2">
      <c r="A44" t="s">
        <v>39</v>
      </c>
      <c r="B44" s="109">
        <v>52575683</v>
      </c>
      <c r="C44" s="109">
        <v>2276803</v>
      </c>
      <c r="D44" s="109">
        <v>6637991</v>
      </c>
      <c r="E44" s="109"/>
      <c r="F44" s="109">
        <f t="shared" si="0"/>
        <v>43660889</v>
      </c>
      <c r="I44" t="s">
        <v>38</v>
      </c>
      <c r="J44" s="59">
        <f t="shared" si="1"/>
        <v>2.9715334025388389E-2</v>
      </c>
      <c r="K44" s="59">
        <f t="shared" si="2"/>
        <v>0.11573740623513376</v>
      </c>
      <c r="L44" s="59">
        <f t="shared" si="3"/>
        <v>0.85454725973947787</v>
      </c>
    </row>
    <row r="45" spans="1:14" x14ac:dyDescent="0.2">
      <c r="A45" t="s">
        <v>40</v>
      </c>
      <c r="B45" s="109">
        <v>72426323</v>
      </c>
      <c r="C45" s="109">
        <v>3644813</v>
      </c>
      <c r="D45" s="109">
        <v>7410869</v>
      </c>
      <c r="E45" s="109"/>
      <c r="F45" s="109">
        <f t="shared" si="0"/>
        <v>61370641</v>
      </c>
      <c r="I45" t="s">
        <v>39</v>
      </c>
      <c r="J45" s="59">
        <f t="shared" si="1"/>
        <v>4.3305248169576802E-2</v>
      </c>
      <c r="K45" s="59">
        <f t="shared" si="2"/>
        <v>0.12625591568634495</v>
      </c>
      <c r="L45" s="59">
        <f t="shared" si="3"/>
        <v>0.83043883614407821</v>
      </c>
    </row>
    <row r="46" spans="1:14" x14ac:dyDescent="0.2">
      <c r="A46" s="104" t="s">
        <v>41</v>
      </c>
      <c r="B46" s="109">
        <v>68250359</v>
      </c>
      <c r="C46" s="109">
        <v>2987940</v>
      </c>
      <c r="D46" s="109">
        <v>5375085</v>
      </c>
      <c r="E46" s="109"/>
      <c r="F46" s="109">
        <f t="shared" si="0"/>
        <v>59887334</v>
      </c>
      <c r="I46" t="s">
        <v>40</v>
      </c>
      <c r="J46" s="59">
        <f t="shared" si="1"/>
        <v>5.0324424173791064E-2</v>
      </c>
      <c r="K46" s="59">
        <f t="shared" si="2"/>
        <v>0.10232286678422153</v>
      </c>
      <c r="L46" s="59">
        <f t="shared" si="3"/>
        <v>0.84735270904198745</v>
      </c>
    </row>
    <row r="47" spans="1:14" x14ac:dyDescent="0.2">
      <c r="A47" t="s">
        <v>59</v>
      </c>
      <c r="B47" s="116">
        <v>58396635</v>
      </c>
      <c r="C47" s="116">
        <v>2562065</v>
      </c>
      <c r="D47" s="116">
        <v>3618282</v>
      </c>
      <c r="E47" s="116"/>
      <c r="F47" s="116">
        <f t="shared" si="0"/>
        <v>52216288</v>
      </c>
      <c r="I47" s="104" t="s">
        <v>41</v>
      </c>
      <c r="J47" s="59">
        <f t="shared" si="1"/>
        <v>4.3779110378012812E-2</v>
      </c>
      <c r="K47" s="59">
        <f t="shared" si="2"/>
        <v>7.8755409916598393E-2</v>
      </c>
      <c r="L47" s="59">
        <f t="shared" si="3"/>
        <v>0.8774654797053888</v>
      </c>
    </row>
    <row r="48" spans="1:14" x14ac:dyDescent="0.2">
      <c r="A48" t="s">
        <v>60</v>
      </c>
      <c r="B48" s="109">
        <v>48218716</v>
      </c>
      <c r="C48" s="109">
        <v>1894209</v>
      </c>
      <c r="D48" s="109">
        <v>3073564</v>
      </c>
      <c r="F48" s="109">
        <f t="shared" si="0"/>
        <v>43250943</v>
      </c>
      <c r="I48" t="s">
        <v>58</v>
      </c>
      <c r="J48" s="114">
        <f t="shared" ref="J48:J53" si="4">C47/B47</f>
        <v>4.38735040126884E-2</v>
      </c>
      <c r="K48" s="114">
        <f t="shared" ref="K48:K53" si="5">D47/B47</f>
        <v>6.1960453714499132E-2</v>
      </c>
      <c r="L48" s="114">
        <f t="shared" ref="L48:L53" si="6">F47/B47</f>
        <v>0.89416604227281249</v>
      </c>
    </row>
    <row r="49" spans="1:12" x14ac:dyDescent="0.2">
      <c r="A49" t="s">
        <v>61</v>
      </c>
      <c r="B49" s="109">
        <v>78761198</v>
      </c>
      <c r="C49" s="109">
        <v>4177132</v>
      </c>
      <c r="D49" s="109">
        <v>4908492</v>
      </c>
      <c r="F49" s="109">
        <f t="shared" si="0"/>
        <v>69675574</v>
      </c>
      <c r="I49" t="s">
        <v>60</v>
      </c>
      <c r="J49" s="114">
        <f t="shared" si="4"/>
        <v>3.928368810152473E-2</v>
      </c>
      <c r="K49" s="114">
        <f t="shared" si="5"/>
        <v>6.3742136974364885E-2</v>
      </c>
      <c r="L49" s="114">
        <f t="shared" si="6"/>
        <v>0.89697417492411036</v>
      </c>
    </row>
    <row r="50" spans="1:12" x14ac:dyDescent="0.2">
      <c r="A50" t="s">
        <v>62</v>
      </c>
      <c r="B50" s="109">
        <v>73878368</v>
      </c>
      <c r="C50" s="109">
        <v>3439098</v>
      </c>
      <c r="D50" s="109">
        <v>5915982</v>
      </c>
      <c r="F50" s="109">
        <f t="shared" si="0"/>
        <v>64523288</v>
      </c>
      <c r="I50" t="s">
        <v>61</v>
      </c>
      <c r="J50" s="114">
        <f t="shared" si="4"/>
        <v>5.3035404565583172E-2</v>
      </c>
      <c r="K50" s="114">
        <f t="shared" si="5"/>
        <v>6.2321195266735276E-2</v>
      </c>
      <c r="L50" s="114">
        <f t="shared" si="6"/>
        <v>0.8846434001676815</v>
      </c>
    </row>
    <row r="51" spans="1:12" x14ac:dyDescent="0.2">
      <c r="A51" t="s">
        <v>69</v>
      </c>
      <c r="B51" s="109">
        <v>66119158</v>
      </c>
      <c r="C51" s="109">
        <v>2335974</v>
      </c>
      <c r="D51" s="109">
        <v>7658221</v>
      </c>
      <c r="F51" s="109">
        <f t="shared" si="0"/>
        <v>56124963</v>
      </c>
      <c r="I51" t="s">
        <v>62</v>
      </c>
      <c r="J51" s="114">
        <f t="shared" si="4"/>
        <v>4.6550811734227808E-2</v>
      </c>
      <c r="K51" s="114">
        <f t="shared" si="5"/>
        <v>8.0077323852091584E-2</v>
      </c>
      <c r="L51" s="114">
        <f t="shared" si="6"/>
        <v>0.87337186441368064</v>
      </c>
    </row>
    <row r="52" spans="1:12" x14ac:dyDescent="0.2">
      <c r="A52" t="s">
        <v>70</v>
      </c>
      <c r="B52" s="109">
        <v>58362987</v>
      </c>
      <c r="C52" s="109">
        <v>2116601</v>
      </c>
      <c r="D52" s="109">
        <v>6386902</v>
      </c>
      <c r="F52" s="109">
        <f t="shared" si="0"/>
        <v>49859484</v>
      </c>
      <c r="I52" t="s">
        <v>69</v>
      </c>
      <c r="J52" s="140">
        <f t="shared" si="4"/>
        <v>3.5329760248913031E-2</v>
      </c>
      <c r="K52" s="140">
        <f t="shared" si="5"/>
        <v>0.11582453908442089</v>
      </c>
      <c r="L52" s="140">
        <f t="shared" si="6"/>
        <v>0.84884570066666609</v>
      </c>
    </row>
    <row r="53" spans="1:12" x14ac:dyDescent="0.2">
      <c r="A53" t="s">
        <v>90</v>
      </c>
      <c r="B53" s="109">
        <v>61976900</v>
      </c>
      <c r="C53" s="109">
        <v>1356340</v>
      </c>
      <c r="D53" s="109">
        <v>7812839</v>
      </c>
      <c r="F53" s="109">
        <f t="shared" si="0"/>
        <v>52807721</v>
      </c>
      <c r="I53" t="s">
        <v>70</v>
      </c>
      <c r="J53" s="140">
        <f t="shared" si="4"/>
        <v>3.6266152724499859E-2</v>
      </c>
      <c r="K53" s="140">
        <f t="shared" si="5"/>
        <v>0.10943411789393165</v>
      </c>
      <c r="L53" s="140">
        <f t="shared" si="6"/>
        <v>0.85429972938156851</v>
      </c>
    </row>
    <row r="54" spans="1:12" x14ac:dyDescent="0.2">
      <c r="A54" t="s">
        <v>107</v>
      </c>
      <c r="B54" s="109">
        <v>56707389</v>
      </c>
      <c r="C54" s="109">
        <v>2282692</v>
      </c>
      <c r="D54" s="109">
        <v>8962485</v>
      </c>
      <c r="F54" s="109">
        <f t="shared" si="0"/>
        <v>45462212</v>
      </c>
      <c r="I54" t="s">
        <v>90</v>
      </c>
      <c r="J54" s="140">
        <f>C53/B53</f>
        <v>2.1884605393299762E-2</v>
      </c>
      <c r="K54" s="140">
        <f>D53/B53</f>
        <v>0.12606049996046914</v>
      </c>
      <c r="L54" s="140">
        <f>F53/B53</f>
        <v>0.85205489464623108</v>
      </c>
    </row>
    <row r="55" spans="1:12" x14ac:dyDescent="0.2">
      <c r="A55" t="s">
        <v>131</v>
      </c>
      <c r="B55" s="109">
        <v>48244080</v>
      </c>
      <c r="C55" s="109">
        <v>2542640</v>
      </c>
      <c r="D55" s="109">
        <v>6119682</v>
      </c>
      <c r="F55" s="109">
        <f t="shared" si="0"/>
        <v>39581758</v>
      </c>
      <c r="I55" t="s">
        <v>107</v>
      </c>
      <c r="J55" s="140">
        <f>C54/B54</f>
        <v>4.0253872383367889E-2</v>
      </c>
      <c r="K55" s="140">
        <f>D54/B54</f>
        <v>0.15804792211470009</v>
      </c>
      <c r="L55" s="140">
        <f>F54/B54</f>
        <v>0.80169820550193205</v>
      </c>
    </row>
    <row r="56" spans="1:12" x14ac:dyDescent="0.2">
      <c r="I56" t="s">
        <v>134</v>
      </c>
      <c r="J56" s="140">
        <f>C55/B55</f>
        <v>5.2703668512281712E-2</v>
      </c>
      <c r="K56" s="140">
        <f>D55/B55</f>
        <v>0.12684835113448117</v>
      </c>
      <c r="L56" s="140">
        <f>F55/B55</f>
        <v>0.82044798035323707</v>
      </c>
    </row>
    <row r="57" spans="1:12" x14ac:dyDescent="0.2">
      <c r="A57" s="214" t="s">
        <v>135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</row>
  </sheetData>
  <mergeCells count="3">
    <mergeCell ref="A57:L57"/>
    <mergeCell ref="A11:M11"/>
    <mergeCell ref="A37:N37"/>
  </mergeCells>
  <conditionalFormatting sqref="J41:J56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{D3B37F41-768C-468D-96D3-C1A74479FBB8}</x14:id>
        </ext>
      </extLst>
    </cfRule>
  </conditionalFormatting>
  <conditionalFormatting sqref="K41:K56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{7FEBF897-2E23-42AC-90B3-C3D3FB943D6F}</x14:id>
        </ext>
      </extLst>
    </cfRule>
  </conditionalFormatting>
  <conditionalFormatting sqref="L41:L56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{840376FE-91DB-4665-8C1A-E946E7A6985E}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B37F41-768C-468D-96D3-C1A74479FB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J41:J56</xm:sqref>
        </x14:conditionalFormatting>
        <x14:conditionalFormatting xmlns:xm="http://schemas.microsoft.com/office/excel/2006/main">
          <x14:cfRule type="dataBar" id="{7FEBF897-2E23-42AC-90B3-C3D3FB943D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K41:K56</xm:sqref>
        </x14:conditionalFormatting>
        <x14:conditionalFormatting xmlns:xm="http://schemas.microsoft.com/office/excel/2006/main">
          <x14:cfRule type="dataBar" id="{840376FE-91DB-4665-8C1A-E946E7A698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L41:L56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19" zoomScaleNormal="100" workbookViewId="0">
      <selection activeCell="Q15" sqref="Q15"/>
    </sheetView>
  </sheetViews>
  <sheetFormatPr defaultColWidth="11.5703125" defaultRowHeight="12.75" x14ac:dyDescent="0.2"/>
  <cols>
    <col min="1" max="3" width="11.5703125" customWidth="1"/>
    <col min="4" max="4" width="12.28515625" customWidth="1"/>
    <col min="5" max="5" width="11.5703125" customWidth="1"/>
    <col min="6" max="6" width="12.28515625" customWidth="1"/>
    <col min="7" max="7" width="11.5703125" customWidth="1"/>
    <col min="8" max="8" width="12.42578125" customWidth="1"/>
    <col min="9" max="9" width="11.5703125" customWidth="1"/>
    <col min="10" max="10" width="12.140625" customWidth="1"/>
    <col min="11" max="13" width="11.5703125" customWidth="1"/>
    <col min="14" max="14" width="12.5703125" customWidth="1"/>
  </cols>
  <sheetData>
    <row r="1" spans="1:22" ht="123" customHeight="1" x14ac:dyDescent="0.2">
      <c r="F1" s="101"/>
      <c r="L1" s="101"/>
      <c r="M1" s="101"/>
    </row>
    <row r="2" spans="1:22" ht="36" customHeight="1" x14ac:dyDescent="0.2">
      <c r="A2" s="183" t="s">
        <v>116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22" ht="10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22" ht="13.5" x14ac:dyDescent="0.2">
      <c r="A4" s="184"/>
      <c r="B4" s="184"/>
      <c r="C4" s="161" t="s">
        <v>0</v>
      </c>
      <c r="D4" s="161"/>
      <c r="E4" s="161"/>
      <c r="F4" s="161"/>
      <c r="G4" s="161"/>
      <c r="H4" s="161"/>
      <c r="I4" s="161" t="s">
        <v>1</v>
      </c>
      <c r="J4" s="161"/>
      <c r="K4" s="161"/>
      <c r="L4" s="161"/>
      <c r="M4" s="161"/>
      <c r="N4" s="161"/>
      <c r="Q4" s="3"/>
      <c r="R4" s="3"/>
      <c r="S4" s="3"/>
      <c r="T4" s="3"/>
      <c r="U4" s="3"/>
      <c r="V4" s="3"/>
    </row>
    <row r="5" spans="1:22" ht="13.5" x14ac:dyDescent="0.2">
      <c r="A5" s="184"/>
      <c r="B5" s="184"/>
      <c r="C5" s="161" t="s">
        <v>6</v>
      </c>
      <c r="D5" s="161"/>
      <c r="E5" s="161" t="s">
        <v>7</v>
      </c>
      <c r="F5" s="161"/>
      <c r="G5" s="161" t="s">
        <v>8</v>
      </c>
      <c r="H5" s="161"/>
      <c r="I5" s="161" t="s">
        <v>6</v>
      </c>
      <c r="J5" s="161"/>
      <c r="K5" s="161" t="s">
        <v>7</v>
      </c>
      <c r="L5" s="161"/>
      <c r="M5" s="161" t="s">
        <v>8</v>
      </c>
      <c r="N5" s="161"/>
      <c r="P5" s="4"/>
      <c r="Q5" s="4"/>
      <c r="R5" s="5"/>
      <c r="S5" s="4"/>
      <c r="T5" s="5"/>
      <c r="U5" s="4"/>
      <c r="V5" s="5"/>
    </row>
    <row r="6" spans="1:22" ht="67.5" x14ac:dyDescent="0.2">
      <c r="A6" s="184"/>
      <c r="B6" s="184"/>
      <c r="C6" s="43" t="s">
        <v>3</v>
      </c>
      <c r="D6" s="43" t="s">
        <v>9</v>
      </c>
      <c r="E6" s="43" t="s">
        <v>3</v>
      </c>
      <c r="F6" s="43" t="s">
        <v>9</v>
      </c>
      <c r="G6" s="43" t="s">
        <v>3</v>
      </c>
      <c r="H6" s="43" t="s">
        <v>9</v>
      </c>
      <c r="I6" s="43" t="s">
        <v>3</v>
      </c>
      <c r="J6" s="43" t="s">
        <v>9</v>
      </c>
      <c r="K6" s="43" t="s">
        <v>3</v>
      </c>
      <c r="L6" s="43" t="s">
        <v>9</v>
      </c>
      <c r="M6" s="43" t="s">
        <v>3</v>
      </c>
      <c r="N6" s="43" t="s">
        <v>9</v>
      </c>
      <c r="P6" s="4"/>
      <c r="Q6" s="4"/>
      <c r="R6" s="5"/>
      <c r="S6" s="4"/>
      <c r="T6" s="5"/>
      <c r="U6" s="4"/>
      <c r="V6" s="5"/>
    </row>
    <row r="7" spans="1:22" ht="13.5" x14ac:dyDescent="0.2">
      <c r="A7" s="173" t="s">
        <v>112</v>
      </c>
      <c r="B7" s="17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P7" s="4"/>
      <c r="Q7" s="4"/>
      <c r="R7" s="5"/>
      <c r="S7" s="4"/>
      <c r="T7" s="5"/>
      <c r="U7" s="4"/>
      <c r="V7" s="5"/>
    </row>
    <row r="8" spans="1:22" ht="13.5" x14ac:dyDescent="0.2">
      <c r="A8" s="174"/>
      <c r="B8" s="7" t="s">
        <v>113</v>
      </c>
      <c r="C8" s="27">
        <f>2</f>
        <v>2</v>
      </c>
      <c r="D8" s="28">
        <f>8582244</f>
        <v>8582244</v>
      </c>
      <c r="E8" s="28">
        <f>88</f>
        <v>88</v>
      </c>
      <c r="F8" s="28">
        <f>24539848</f>
        <v>24539848</v>
      </c>
      <c r="G8" s="28">
        <f>56+4</f>
        <v>60</v>
      </c>
      <c r="H8" s="28">
        <f>44962914+16016805</f>
        <v>60979719</v>
      </c>
      <c r="I8" s="27">
        <f>84</f>
        <v>84</v>
      </c>
      <c r="J8" s="28">
        <f>49381687</f>
        <v>49381687</v>
      </c>
      <c r="K8" s="28">
        <f>111</f>
        <v>111</v>
      </c>
      <c r="L8" s="28">
        <f>5088162</f>
        <v>5088162</v>
      </c>
      <c r="M8" s="28">
        <f>66+2+34</f>
        <v>102</v>
      </c>
      <c r="N8" s="28">
        <f>3238030+2368617</f>
        <v>5606647</v>
      </c>
      <c r="O8" s="101"/>
      <c r="P8" s="102"/>
      <c r="Q8" s="102"/>
      <c r="R8" s="5"/>
      <c r="S8" s="102"/>
      <c r="T8" s="5"/>
      <c r="U8" s="4"/>
      <c r="V8" s="5"/>
    </row>
    <row r="9" spans="1:22" ht="13.5" x14ac:dyDescent="0.2">
      <c r="A9" s="174"/>
      <c r="B9" s="7" t="s">
        <v>114</v>
      </c>
      <c r="C9" s="27">
        <f>7</f>
        <v>7</v>
      </c>
      <c r="D9" s="28">
        <f>18760603</f>
        <v>18760603</v>
      </c>
      <c r="E9" s="28">
        <f>95</f>
        <v>95</v>
      </c>
      <c r="F9" s="28">
        <f>60447963</f>
        <v>60447963</v>
      </c>
      <c r="G9" s="28">
        <f>62+3+3</f>
        <v>68</v>
      </c>
      <c r="H9" s="28">
        <f>35109821+303860</f>
        <v>35413681</v>
      </c>
      <c r="I9" s="27">
        <f>40</f>
        <v>40</v>
      </c>
      <c r="J9" s="28">
        <f>19944112</f>
        <v>19944112</v>
      </c>
      <c r="K9" s="28">
        <f>84</f>
        <v>84</v>
      </c>
      <c r="L9" s="28">
        <f>4456689</f>
        <v>4456689</v>
      </c>
      <c r="M9" s="28">
        <f>63+2+33</f>
        <v>98</v>
      </c>
      <c r="N9" s="28">
        <f>2729007+2430573</f>
        <v>5159580</v>
      </c>
      <c r="O9" s="101"/>
      <c r="P9" s="102"/>
      <c r="Q9" s="102"/>
      <c r="R9" s="5"/>
      <c r="S9" s="102"/>
      <c r="T9" s="5"/>
      <c r="U9" s="4"/>
      <c r="V9" s="5"/>
    </row>
    <row r="10" spans="1:22" ht="13.5" customHeight="1" x14ac:dyDescent="0.2">
      <c r="A10" s="174"/>
      <c r="B10" s="7" t="s">
        <v>115</v>
      </c>
      <c r="C10" s="27">
        <f>4</f>
        <v>4</v>
      </c>
      <c r="D10" s="28">
        <f>27850544</f>
        <v>27850544</v>
      </c>
      <c r="E10" s="28">
        <f>104</f>
        <v>104</v>
      </c>
      <c r="F10" s="28">
        <f>21642866</f>
        <v>21642866</v>
      </c>
      <c r="G10" s="28">
        <f>68+3</f>
        <v>71</v>
      </c>
      <c r="H10" s="28">
        <f>57271759+1654000</f>
        <v>58925759</v>
      </c>
      <c r="I10" s="27">
        <f>54</f>
        <v>54</v>
      </c>
      <c r="J10" s="28">
        <f>31054603</f>
        <v>31054603</v>
      </c>
      <c r="K10" s="28">
        <f>147</f>
        <v>147</v>
      </c>
      <c r="L10" s="28">
        <v>6518165</v>
      </c>
      <c r="M10" s="28">
        <f>69+1+26</f>
        <v>96</v>
      </c>
      <c r="N10" s="28">
        <f>3385754+1833516</f>
        <v>5219270</v>
      </c>
      <c r="O10" s="101"/>
      <c r="P10" s="102"/>
      <c r="Q10" s="102"/>
      <c r="R10" s="5"/>
      <c r="S10" s="102"/>
      <c r="T10" s="5"/>
      <c r="U10" s="4"/>
      <c r="V10" s="5"/>
    </row>
    <row r="11" spans="1:22" ht="14.25" x14ac:dyDescent="0.2">
      <c r="A11" s="175" t="s">
        <v>4</v>
      </c>
      <c r="B11" s="175"/>
      <c r="C11" s="50">
        <f t="shared" ref="C11:N11" si="0">SUM(C8:C10)</f>
        <v>13</v>
      </c>
      <c r="D11" s="51">
        <f t="shared" si="0"/>
        <v>55193391</v>
      </c>
      <c r="E11" s="51">
        <f t="shared" si="0"/>
        <v>287</v>
      </c>
      <c r="F11" s="51">
        <f t="shared" si="0"/>
        <v>106630677</v>
      </c>
      <c r="G11" s="51">
        <f t="shared" si="0"/>
        <v>199</v>
      </c>
      <c r="H11" s="51">
        <f t="shared" si="0"/>
        <v>155319159</v>
      </c>
      <c r="I11" s="51">
        <f t="shared" si="0"/>
        <v>178</v>
      </c>
      <c r="J11" s="51">
        <f t="shared" si="0"/>
        <v>100380402</v>
      </c>
      <c r="K11" s="51">
        <f t="shared" si="0"/>
        <v>342</v>
      </c>
      <c r="L11" s="51">
        <f>SUM(L8:L10)</f>
        <v>16063016</v>
      </c>
      <c r="M11" s="51">
        <f t="shared" si="0"/>
        <v>296</v>
      </c>
      <c r="N11" s="51">
        <f t="shared" si="0"/>
        <v>15985497</v>
      </c>
      <c r="O11" s="11"/>
      <c r="P11" s="5"/>
      <c r="Q11" s="5"/>
      <c r="R11" s="5"/>
      <c r="S11" s="102"/>
      <c r="T11" s="5"/>
      <c r="U11" s="4"/>
      <c r="V11" s="5"/>
    </row>
    <row r="12" spans="1:22" ht="8.25" customHeight="1" x14ac:dyDescent="0.2">
      <c r="A12" s="17"/>
      <c r="B12" s="17"/>
      <c r="C12" s="152"/>
      <c r="D12" s="152"/>
      <c r="E12" s="79"/>
      <c r="F12" s="79"/>
      <c r="G12" s="17"/>
      <c r="H12" s="17"/>
      <c r="I12" s="152"/>
      <c r="J12" s="152"/>
      <c r="K12" s="79"/>
      <c r="L12" s="79"/>
      <c r="M12" s="17"/>
      <c r="N12" s="17"/>
      <c r="P12" s="5"/>
      <c r="Q12" s="4"/>
      <c r="R12" s="5"/>
      <c r="S12" s="4"/>
      <c r="T12" s="5"/>
      <c r="U12" s="4"/>
      <c r="V12" s="5"/>
    </row>
    <row r="13" spans="1:22" ht="42.75" customHeight="1" x14ac:dyDescent="0.2">
      <c r="A13" s="180" t="s">
        <v>109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2"/>
      <c r="O13" s="11"/>
      <c r="P13" s="4"/>
      <c r="Q13" s="4"/>
      <c r="R13" s="5"/>
      <c r="S13" s="4"/>
      <c r="T13" s="5"/>
      <c r="U13" s="4"/>
      <c r="V13" s="5"/>
    </row>
    <row r="14" spans="1:22" ht="29.25" customHeight="1" x14ac:dyDescent="0.2">
      <c r="A14" s="179" t="s">
        <v>72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P14" s="101"/>
      <c r="Q14" s="101"/>
    </row>
    <row r="15" spans="1:22" ht="27.75" customHeight="1" x14ac:dyDescent="0.2">
      <c r="A15" s="186" t="s">
        <v>75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22" ht="20.85" customHeight="1" x14ac:dyDescent="0.2">
      <c r="A16" s="18"/>
      <c r="B16" s="19"/>
      <c r="C16" s="138"/>
      <c r="D16" s="138"/>
      <c r="E16" s="138"/>
      <c r="F16" s="139"/>
      <c r="G16" s="19"/>
      <c r="H16" s="19"/>
      <c r="I16" s="138"/>
      <c r="J16" s="138"/>
      <c r="K16" s="138"/>
      <c r="L16" s="19"/>
      <c r="M16" s="19"/>
      <c r="N16" s="20"/>
    </row>
    <row r="17" spans="1:16" ht="16.5" x14ac:dyDescent="0.2">
      <c r="A17" s="188" t="s">
        <v>117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</row>
    <row r="18" spans="1:16" ht="15.75" x14ac:dyDescent="0.2">
      <c r="A18" s="21"/>
      <c r="C18" s="34"/>
      <c r="D18" s="34"/>
      <c r="E18" s="34"/>
      <c r="F18" s="34"/>
      <c r="G18" s="34"/>
      <c r="H18" s="34"/>
      <c r="I18" s="34"/>
      <c r="J18" s="34"/>
    </row>
    <row r="19" spans="1:16" ht="14.25" x14ac:dyDescent="0.2">
      <c r="A19" s="20"/>
      <c r="B19" s="20"/>
      <c r="C19" s="184"/>
      <c r="D19" s="184"/>
      <c r="E19" s="189" t="s">
        <v>89</v>
      </c>
      <c r="F19" s="190"/>
      <c r="G19" s="190"/>
      <c r="H19" s="190"/>
      <c r="I19" s="190"/>
      <c r="J19" s="191"/>
      <c r="K19" s="20"/>
      <c r="L19" s="20"/>
      <c r="M19" s="20"/>
      <c r="N19" s="20"/>
    </row>
    <row r="20" spans="1:16" ht="13.5" x14ac:dyDescent="0.2">
      <c r="A20" s="20"/>
      <c r="B20" s="20"/>
      <c r="C20" s="184"/>
      <c r="D20" s="184"/>
      <c r="E20" s="161" t="s">
        <v>6</v>
      </c>
      <c r="F20" s="161"/>
      <c r="G20" s="161" t="s">
        <v>7</v>
      </c>
      <c r="H20" s="161"/>
      <c r="I20" s="161" t="s">
        <v>8</v>
      </c>
      <c r="J20" s="161"/>
      <c r="K20" s="20"/>
      <c r="L20" s="20"/>
      <c r="M20" s="20"/>
      <c r="N20" s="20"/>
    </row>
    <row r="21" spans="1:16" ht="67.5" x14ac:dyDescent="0.2">
      <c r="A21" s="20"/>
      <c r="B21" s="20"/>
      <c r="C21" s="184"/>
      <c r="D21" s="184"/>
      <c r="E21" s="43" t="s">
        <v>3</v>
      </c>
      <c r="F21" s="43" t="s">
        <v>9</v>
      </c>
      <c r="G21" s="43" t="s">
        <v>3</v>
      </c>
      <c r="H21" s="43" t="s">
        <v>9</v>
      </c>
      <c r="I21" s="43" t="s">
        <v>3</v>
      </c>
      <c r="J21" s="43" t="s">
        <v>9</v>
      </c>
      <c r="K21" s="20"/>
      <c r="L21" s="78"/>
      <c r="M21" s="29"/>
      <c r="N21" s="29"/>
    </row>
    <row r="22" spans="1:16" ht="13.5" x14ac:dyDescent="0.2">
      <c r="A22" s="20"/>
      <c r="B22" s="20"/>
      <c r="C22" s="173" t="s">
        <v>112</v>
      </c>
      <c r="D22" s="173"/>
      <c r="E22" s="22"/>
      <c r="F22" s="22"/>
      <c r="G22" s="22"/>
      <c r="H22" s="22"/>
      <c r="I22" s="22"/>
      <c r="J22" s="22"/>
      <c r="K22" s="20"/>
      <c r="L22" s="20"/>
      <c r="M22" s="20"/>
      <c r="N22" s="20"/>
    </row>
    <row r="23" spans="1:16" ht="13.5" x14ac:dyDescent="0.2">
      <c r="A23" s="20"/>
      <c r="B23" s="20"/>
      <c r="C23" s="174"/>
      <c r="D23" s="7" t="s">
        <v>113</v>
      </c>
      <c r="E23" s="27">
        <v>137</v>
      </c>
      <c r="F23" s="28">
        <v>8747043</v>
      </c>
      <c r="G23" s="28">
        <v>245</v>
      </c>
      <c r="H23" s="28">
        <v>5142401</v>
      </c>
      <c r="I23" s="28">
        <v>209</v>
      </c>
      <c r="J23" s="28">
        <v>4688487</v>
      </c>
      <c r="K23" s="78"/>
      <c r="L23" s="78"/>
      <c r="M23" s="20"/>
      <c r="N23" s="20"/>
    </row>
    <row r="24" spans="1:16" ht="13.5" x14ac:dyDescent="0.2">
      <c r="A24" s="20"/>
      <c r="B24" s="20"/>
      <c r="C24" s="174"/>
      <c r="D24" s="7" t="s">
        <v>114</v>
      </c>
      <c r="E24" s="27">
        <v>78</v>
      </c>
      <c r="F24" s="28">
        <v>5313574</v>
      </c>
      <c r="G24" s="28">
        <v>237</v>
      </c>
      <c r="H24" s="28">
        <v>5455322</v>
      </c>
      <c r="I24" s="28">
        <v>227</v>
      </c>
      <c r="J24" s="28">
        <v>4821109</v>
      </c>
      <c r="K24" s="78"/>
      <c r="L24" s="78"/>
      <c r="M24" s="20"/>
      <c r="N24" s="20"/>
    </row>
    <row r="25" spans="1:16" ht="13.5" x14ac:dyDescent="0.2">
      <c r="A25" s="20"/>
      <c r="B25" s="20"/>
      <c r="C25" s="174"/>
      <c r="D25" s="7" t="s">
        <v>115</v>
      </c>
      <c r="E25" s="27">
        <v>67</v>
      </c>
      <c r="F25" s="28">
        <v>3267719</v>
      </c>
      <c r="G25" s="28">
        <v>208</v>
      </c>
      <c r="H25" s="28">
        <v>4623361</v>
      </c>
      <c r="I25" s="28">
        <v>266</v>
      </c>
      <c r="J25" s="28">
        <v>6185064</v>
      </c>
      <c r="K25" s="78"/>
      <c r="L25" s="78"/>
      <c r="M25" s="20"/>
      <c r="N25" s="20"/>
    </row>
    <row r="26" spans="1:16" ht="14.25" x14ac:dyDescent="0.2">
      <c r="A26" s="20"/>
      <c r="B26" s="20"/>
      <c r="C26" s="175" t="s">
        <v>4</v>
      </c>
      <c r="D26" s="175"/>
      <c r="E26" s="50">
        <f t="shared" ref="E26:J26" si="1">SUM(E23:E25)</f>
        <v>282</v>
      </c>
      <c r="F26" s="51">
        <f t="shared" si="1"/>
        <v>17328336</v>
      </c>
      <c r="G26" s="51">
        <f t="shared" si="1"/>
        <v>690</v>
      </c>
      <c r="H26" s="51">
        <f t="shared" si="1"/>
        <v>15221084</v>
      </c>
      <c r="I26" s="51">
        <f t="shared" si="1"/>
        <v>702</v>
      </c>
      <c r="J26" s="51">
        <f t="shared" si="1"/>
        <v>15694660</v>
      </c>
      <c r="K26" s="29"/>
      <c r="L26" s="29"/>
      <c r="M26" s="20"/>
      <c r="N26" s="20"/>
      <c r="O26" s="11"/>
      <c r="P26" s="11"/>
    </row>
    <row r="27" spans="1:1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9"/>
      <c r="L27" s="29"/>
      <c r="M27" s="20"/>
      <c r="N27" s="20"/>
    </row>
    <row r="28" spans="1:16" ht="12.95" customHeight="1" x14ac:dyDescent="0.2">
      <c r="A28" s="187" t="s">
        <v>76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1:16" s="15" customFormat="1" ht="46.5" customHeight="1" x14ac:dyDescent="0.2">
      <c r="A29" s="185" t="s">
        <v>93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</row>
    <row r="30" spans="1:16" x14ac:dyDescent="0.2">
      <c r="E30" s="11"/>
      <c r="F30" s="11"/>
      <c r="G30" s="11"/>
      <c r="H30" s="11"/>
    </row>
    <row r="31" spans="1:16" x14ac:dyDescent="0.2">
      <c r="E31" s="101"/>
      <c r="F31" s="11"/>
      <c r="G31" s="11"/>
      <c r="H31" s="11"/>
    </row>
    <row r="32" spans="1:16" x14ac:dyDescent="0.2">
      <c r="C32" s="101"/>
      <c r="D32" s="101"/>
      <c r="E32" s="101"/>
      <c r="F32" s="101"/>
    </row>
    <row r="33" spans="5:6" x14ac:dyDescent="0.2">
      <c r="E33" s="101"/>
      <c r="F33" s="101"/>
    </row>
  </sheetData>
  <mergeCells count="27">
    <mergeCell ref="A29:N29"/>
    <mergeCell ref="A15:N15"/>
    <mergeCell ref="C22:D22"/>
    <mergeCell ref="C23:C25"/>
    <mergeCell ref="C26:D26"/>
    <mergeCell ref="A28:N28"/>
    <mergeCell ref="A17:N17"/>
    <mergeCell ref="C19:D21"/>
    <mergeCell ref="E19:J19"/>
    <mergeCell ref="E20:F20"/>
    <mergeCell ref="G20:H20"/>
    <mergeCell ref="I20:J20"/>
    <mergeCell ref="A2:N2"/>
    <mergeCell ref="A4:B6"/>
    <mergeCell ref="C4:H4"/>
    <mergeCell ref="I4:N4"/>
    <mergeCell ref="C5:D5"/>
    <mergeCell ref="E5:F5"/>
    <mergeCell ref="G5:H5"/>
    <mergeCell ref="A14:N14"/>
    <mergeCell ref="A13:N13"/>
    <mergeCell ref="I5:J5"/>
    <mergeCell ref="K5:L5"/>
    <mergeCell ref="M5:N5"/>
    <mergeCell ref="A7:B7"/>
    <mergeCell ref="A8:A10"/>
    <mergeCell ref="A11:B11"/>
  </mergeCells>
  <phoneticPr fontId="24" type="noConversion"/>
  <pageMargins left="0.70866141732283472" right="0.70866141732283472" top="0.19685039370078741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opLeftCell="F1" zoomScaleNormal="100" workbookViewId="0">
      <selection activeCell="P6" sqref="P6"/>
    </sheetView>
  </sheetViews>
  <sheetFormatPr defaultColWidth="11.5703125" defaultRowHeight="12.75" x14ac:dyDescent="0.2"/>
  <sheetData>
    <row r="1" spans="1:15" ht="123.75" customHeight="1" x14ac:dyDescent="0.2"/>
    <row r="2" spans="1:15" ht="37.5" customHeight="1" x14ac:dyDescent="0.2">
      <c r="A2" s="192" t="s">
        <v>118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15.75" x14ac:dyDescent="0.2">
      <c r="A3" s="1"/>
    </row>
    <row r="4" spans="1:15" ht="47.25" customHeight="1" x14ac:dyDescent="0.2">
      <c r="A4" s="160"/>
      <c r="B4" s="160"/>
      <c r="C4" s="161" t="s">
        <v>0</v>
      </c>
      <c r="D4" s="161"/>
      <c r="E4" s="161"/>
      <c r="F4" s="161"/>
      <c r="G4" s="161"/>
      <c r="H4" s="161" t="s">
        <v>1</v>
      </c>
      <c r="I4" s="161"/>
      <c r="J4" s="161"/>
      <c r="K4" s="161"/>
      <c r="L4" s="161"/>
      <c r="M4" s="163" t="s">
        <v>71</v>
      </c>
      <c r="N4" s="163"/>
      <c r="O4" s="163"/>
    </row>
    <row r="5" spans="1:15" ht="202.5" x14ac:dyDescent="0.2">
      <c r="A5" s="160"/>
      <c r="B5" s="160"/>
      <c r="C5" s="43" t="s">
        <v>2</v>
      </c>
      <c r="D5" s="43" t="s">
        <v>94</v>
      </c>
      <c r="E5" s="43" t="s">
        <v>74</v>
      </c>
      <c r="F5" s="43" t="s">
        <v>3</v>
      </c>
      <c r="G5" s="43" t="s">
        <v>9</v>
      </c>
      <c r="H5" s="43" t="s">
        <v>2</v>
      </c>
      <c r="I5" s="43" t="s">
        <v>94</v>
      </c>
      <c r="J5" s="43" t="s">
        <v>74</v>
      </c>
      <c r="K5" s="43" t="s">
        <v>3</v>
      </c>
      <c r="L5" s="43" t="s">
        <v>9</v>
      </c>
      <c r="M5" s="43" t="s">
        <v>2</v>
      </c>
      <c r="N5" s="43" t="s">
        <v>3</v>
      </c>
      <c r="O5" s="43" t="s">
        <v>9</v>
      </c>
    </row>
    <row r="6" spans="1:15" ht="13.5" x14ac:dyDescent="0.2">
      <c r="A6" s="173" t="s">
        <v>119</v>
      </c>
      <c r="B6" s="173"/>
      <c r="C6" s="119">
        <v>249</v>
      </c>
      <c r="D6" s="118">
        <v>259</v>
      </c>
      <c r="E6" s="118">
        <v>0</v>
      </c>
      <c r="F6" s="119">
        <v>333</v>
      </c>
      <c r="G6" s="119">
        <v>374725677</v>
      </c>
      <c r="H6" s="119">
        <v>485</v>
      </c>
      <c r="I6" s="118">
        <v>254</v>
      </c>
      <c r="J6" s="118">
        <v>0</v>
      </c>
      <c r="K6" s="119">
        <v>561</v>
      </c>
      <c r="L6" s="119">
        <v>114677992</v>
      </c>
      <c r="M6" s="9">
        <v>2787</v>
      </c>
      <c r="N6" s="9">
        <v>3196</v>
      </c>
      <c r="O6" s="9">
        <v>66119158</v>
      </c>
    </row>
    <row r="7" spans="1:15" ht="13.5" x14ac:dyDescent="0.2">
      <c r="A7" s="173" t="s">
        <v>120</v>
      </c>
      <c r="B7" s="173"/>
      <c r="C7" s="117">
        <f>'1)_PIL_kopsavilkums'!D10</f>
        <v>261</v>
      </c>
      <c r="D7" s="118">
        <f>'1)_PIL_kopsavilkums'!E10</f>
        <v>10</v>
      </c>
      <c r="E7" s="118">
        <f>'1)_PIL_kopsavilkums'!F10</f>
        <v>2</v>
      </c>
      <c r="F7" s="118">
        <f>'1)_PIL_kopsavilkums'!G10</f>
        <v>499</v>
      </c>
      <c r="G7" s="118">
        <f>'1)_PIL_kopsavilkums'!H10</f>
        <v>317143227</v>
      </c>
      <c r="H7" s="118">
        <f>'1)_PIL_kopsavilkums'!I10</f>
        <v>739</v>
      </c>
      <c r="I7" s="118">
        <f>'1)_PIL_kopsavilkums'!J10</f>
        <v>0</v>
      </c>
      <c r="J7" s="118">
        <f>'1)_PIL_kopsavilkums'!K10</f>
        <v>1</v>
      </c>
      <c r="K7" s="118">
        <f>'1)_PIL_kopsavilkums'!L10</f>
        <v>816</v>
      </c>
      <c r="L7" s="118">
        <f>'1)_PIL_kopsavilkums'!M10</f>
        <v>132428915</v>
      </c>
      <c r="M7" s="8">
        <f>'1)_PIL_kopsavilkums'!N10</f>
        <v>1665</v>
      </c>
      <c r="N7" s="8">
        <f>'1)_PIL_kopsavilkums'!O10</f>
        <v>1674</v>
      </c>
      <c r="O7" s="8">
        <f>'1)_PIL_kopsavilkums'!P10</f>
        <v>48244080</v>
      </c>
    </row>
    <row r="8" spans="1:15" ht="29.85" customHeight="1" x14ac:dyDescent="0.2">
      <c r="A8" s="196" t="s">
        <v>121</v>
      </c>
      <c r="B8" s="196"/>
      <c r="C8" s="46">
        <f t="shared" ref="C8:O8" si="0">(C7-C6)/ABS(C6)</f>
        <v>4.8192771084337352E-2</v>
      </c>
      <c r="D8" s="46">
        <f t="shared" si="0"/>
        <v>-0.96138996138996136</v>
      </c>
      <c r="E8" s="46">
        <v>0</v>
      </c>
      <c r="F8" s="46">
        <f t="shared" si="0"/>
        <v>0.49849849849849848</v>
      </c>
      <c r="G8" s="46">
        <f t="shared" si="0"/>
        <v>-0.15366561069686185</v>
      </c>
      <c r="H8" s="46">
        <f t="shared" si="0"/>
        <v>0.52371134020618559</v>
      </c>
      <c r="I8" s="46">
        <f t="shared" si="0"/>
        <v>-1</v>
      </c>
      <c r="J8" s="46">
        <v>0</v>
      </c>
      <c r="K8" s="46">
        <f t="shared" si="0"/>
        <v>0.45454545454545453</v>
      </c>
      <c r="L8" s="46">
        <f t="shared" si="0"/>
        <v>0.15478927290599925</v>
      </c>
      <c r="M8" s="46">
        <f t="shared" si="0"/>
        <v>-0.40258342303552208</v>
      </c>
      <c r="N8" s="46">
        <f t="shared" si="0"/>
        <v>-0.47622027534418021</v>
      </c>
      <c r="O8" s="46">
        <f t="shared" si="0"/>
        <v>-0.27034642516167551</v>
      </c>
    </row>
    <row r="9" spans="1:15" x14ac:dyDescent="0.2">
      <c r="A9" s="49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2">
      <c r="A10" s="4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34.5" customHeight="1" x14ac:dyDescent="0.2">
      <c r="A11" s="194" t="s">
        <v>96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</row>
    <row r="12" spans="1:15" ht="46.5" customHeight="1" x14ac:dyDescent="0.2">
      <c r="A12" s="197" t="s">
        <v>110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</row>
    <row r="13" spans="1:15" ht="5.25" customHeight="1" x14ac:dyDescent="0.25">
      <c r="A13" s="40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27.75" customHeight="1" x14ac:dyDescent="0.2">
      <c r="A14" s="193" t="s">
        <v>72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</row>
    <row r="15" spans="1:15" ht="29.25" customHeight="1" x14ac:dyDescent="0.2">
      <c r="A15" s="194" t="s">
        <v>73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</row>
    <row r="16" spans="1:15" ht="43.5" customHeight="1" x14ac:dyDescent="0.2">
      <c r="A16" s="195" t="s">
        <v>97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</row>
    <row r="17" spans="1:15" s="35" customFormat="1" ht="15" x14ac:dyDescent="0.25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</sheetData>
  <mergeCells count="13">
    <mergeCell ref="A14:O14"/>
    <mergeCell ref="A15:O15"/>
    <mergeCell ref="A16:O16"/>
    <mergeCell ref="A6:B6"/>
    <mergeCell ref="A7:B7"/>
    <mergeCell ref="A8:B8"/>
    <mergeCell ref="A11:O11"/>
    <mergeCell ref="A12:O12"/>
    <mergeCell ref="A2:O2"/>
    <mergeCell ref="A4:B5"/>
    <mergeCell ref="C4:G4"/>
    <mergeCell ref="H4:L4"/>
    <mergeCell ref="M4:O4"/>
  </mergeCells>
  <phoneticPr fontId="24" type="noConversion"/>
  <pageMargins left="0.70866141732283472" right="0.70866141732283472" top="0.19685039370078741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E13" zoomScaleNormal="100" workbookViewId="0">
      <selection activeCell="O6" sqref="O6"/>
    </sheetView>
  </sheetViews>
  <sheetFormatPr defaultColWidth="11.5703125" defaultRowHeight="12.75" x14ac:dyDescent="0.2"/>
  <cols>
    <col min="13" max="13" width="12.7109375" bestFit="1" customWidth="1"/>
  </cols>
  <sheetData>
    <row r="1" spans="1:21" ht="123" customHeight="1" x14ac:dyDescent="0.2"/>
    <row r="2" spans="1:21" ht="45" customHeight="1" x14ac:dyDescent="0.2">
      <c r="A2" s="202" t="s">
        <v>122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21" ht="13.5" x14ac:dyDescent="0.2">
      <c r="A3" s="184"/>
      <c r="B3" s="184"/>
      <c r="C3" s="161" t="s">
        <v>0</v>
      </c>
      <c r="D3" s="161"/>
      <c r="E3" s="161"/>
      <c r="F3" s="161"/>
      <c r="G3" s="161"/>
      <c r="H3" s="161"/>
      <c r="I3" s="161" t="s">
        <v>1</v>
      </c>
      <c r="J3" s="161"/>
      <c r="K3" s="161"/>
      <c r="L3" s="161"/>
      <c r="M3" s="161"/>
      <c r="N3" s="161"/>
      <c r="P3" s="3"/>
      <c r="Q3" s="3"/>
      <c r="R3" s="3"/>
      <c r="S3" s="3"/>
      <c r="T3" s="3"/>
      <c r="U3" s="3"/>
    </row>
    <row r="4" spans="1:21" ht="13.5" x14ac:dyDescent="0.2">
      <c r="A4" s="184"/>
      <c r="B4" s="184"/>
      <c r="C4" s="161" t="s">
        <v>6</v>
      </c>
      <c r="D4" s="161"/>
      <c r="E4" s="161" t="s">
        <v>7</v>
      </c>
      <c r="F4" s="161"/>
      <c r="G4" s="161" t="s">
        <v>8</v>
      </c>
      <c r="H4" s="161"/>
      <c r="I4" s="161" t="s">
        <v>6</v>
      </c>
      <c r="J4" s="161"/>
      <c r="K4" s="161" t="s">
        <v>7</v>
      </c>
      <c r="L4" s="161"/>
      <c r="M4" s="161" t="s">
        <v>8</v>
      </c>
      <c r="N4" s="161"/>
      <c r="O4" s="4"/>
      <c r="P4" s="4"/>
      <c r="Q4" s="5"/>
      <c r="R4" s="4"/>
      <c r="S4" s="5"/>
      <c r="T4" s="4"/>
      <c r="U4" s="5"/>
    </row>
    <row r="5" spans="1:21" ht="67.5" x14ac:dyDescent="0.2">
      <c r="A5" s="184"/>
      <c r="B5" s="184"/>
      <c r="C5" s="43" t="s">
        <v>3</v>
      </c>
      <c r="D5" s="43" t="s">
        <v>9</v>
      </c>
      <c r="E5" s="43" t="s">
        <v>3</v>
      </c>
      <c r="F5" s="43" t="s">
        <v>9</v>
      </c>
      <c r="G5" s="43" t="s">
        <v>3</v>
      </c>
      <c r="H5" s="43" t="s">
        <v>9</v>
      </c>
      <c r="I5" s="43" t="s">
        <v>3</v>
      </c>
      <c r="J5" s="43" t="s">
        <v>9</v>
      </c>
      <c r="K5" s="43" t="s">
        <v>3</v>
      </c>
      <c r="L5" s="43" t="s">
        <v>9</v>
      </c>
      <c r="M5" s="43" t="s">
        <v>3</v>
      </c>
      <c r="N5" s="43" t="s">
        <v>9</v>
      </c>
      <c r="O5" s="4"/>
      <c r="P5" s="4"/>
      <c r="Q5" s="5"/>
      <c r="R5" s="4"/>
      <c r="S5" s="5"/>
      <c r="T5" s="4"/>
      <c r="U5" s="5"/>
    </row>
    <row r="6" spans="1:21" ht="13.5" x14ac:dyDescent="0.2">
      <c r="A6" s="173" t="s">
        <v>119</v>
      </c>
      <c r="B6" s="173"/>
      <c r="C6" s="119">
        <v>6</v>
      </c>
      <c r="D6" s="119">
        <v>56250416</v>
      </c>
      <c r="E6" s="119">
        <v>188</v>
      </c>
      <c r="F6" s="119">
        <v>180825906</v>
      </c>
      <c r="G6" s="119">
        <v>139</v>
      </c>
      <c r="H6" s="119">
        <v>137649355</v>
      </c>
      <c r="I6" s="119">
        <v>124</v>
      </c>
      <c r="J6" s="119">
        <v>87813814</v>
      </c>
      <c r="K6" s="119">
        <v>229</v>
      </c>
      <c r="L6" s="119">
        <v>14303594</v>
      </c>
      <c r="M6" s="119">
        <v>208</v>
      </c>
      <c r="N6" s="119">
        <v>1256584</v>
      </c>
      <c r="O6" s="5"/>
      <c r="P6" s="5"/>
      <c r="Q6" s="5"/>
      <c r="R6" s="5"/>
      <c r="S6" s="5"/>
      <c r="T6" s="4"/>
      <c r="U6" s="5"/>
    </row>
    <row r="7" spans="1:21" ht="13.5" x14ac:dyDescent="0.2">
      <c r="A7" s="173" t="s">
        <v>120</v>
      </c>
      <c r="B7" s="173"/>
      <c r="C7" s="118">
        <f>'2)_PIL_iepirkuma_veida'!C11</f>
        <v>13</v>
      </c>
      <c r="D7" s="118">
        <f>'2)_PIL_iepirkuma_veida'!D11</f>
        <v>55193391</v>
      </c>
      <c r="E7" s="118">
        <f>'2)_PIL_iepirkuma_veida'!E11</f>
        <v>287</v>
      </c>
      <c r="F7" s="118">
        <f>'2)_PIL_iepirkuma_veida'!F11</f>
        <v>106630677</v>
      </c>
      <c r="G7" s="118">
        <f>'2)_PIL_iepirkuma_veida'!G11</f>
        <v>199</v>
      </c>
      <c r="H7" s="118">
        <f>'2)_PIL_iepirkuma_veida'!H11</f>
        <v>155319159</v>
      </c>
      <c r="I7" s="118">
        <f>'2)_PIL_iepirkuma_veida'!I11</f>
        <v>178</v>
      </c>
      <c r="J7" s="118">
        <f>'2)_PIL_iepirkuma_veida'!J11</f>
        <v>100380402</v>
      </c>
      <c r="K7" s="118">
        <f>'2)_PIL_iepirkuma_veida'!K11</f>
        <v>342</v>
      </c>
      <c r="L7" s="118">
        <f>'2)_PIL_iepirkuma_veida'!L11</f>
        <v>16063016</v>
      </c>
      <c r="M7" s="118">
        <f>'2)_PIL_iepirkuma_veida'!M11</f>
        <v>296</v>
      </c>
      <c r="N7" s="118">
        <f>'2)_PIL_iepirkuma_veida'!N11</f>
        <v>15985497</v>
      </c>
      <c r="O7" s="5"/>
      <c r="P7" s="5"/>
      <c r="Q7" s="5"/>
      <c r="R7" s="5"/>
      <c r="S7" s="5"/>
      <c r="T7" s="4"/>
      <c r="U7" s="5"/>
    </row>
    <row r="8" spans="1:21" ht="26.85" customHeight="1" x14ac:dyDescent="0.2">
      <c r="A8" s="198" t="s">
        <v>121</v>
      </c>
      <c r="B8" s="198"/>
      <c r="C8" s="52">
        <f t="shared" ref="C8:N8" si="0">(C7-C6)/ABS(C6)</f>
        <v>1.1666666666666667</v>
      </c>
      <c r="D8" s="52">
        <f t="shared" si="0"/>
        <v>-1.8791416582590252E-2</v>
      </c>
      <c r="E8" s="52">
        <f t="shared" si="0"/>
        <v>0.52659574468085102</v>
      </c>
      <c r="F8" s="52">
        <f t="shared" si="0"/>
        <v>-0.41031304994539886</v>
      </c>
      <c r="G8" s="52">
        <f t="shared" si="0"/>
        <v>0.43165467625899279</v>
      </c>
      <c r="H8" s="52">
        <f t="shared" si="0"/>
        <v>0.12836822954964083</v>
      </c>
      <c r="I8" s="52">
        <f t="shared" si="0"/>
        <v>0.43548387096774194</v>
      </c>
      <c r="J8" s="52">
        <f t="shared" si="0"/>
        <v>0.14310491057819216</v>
      </c>
      <c r="K8" s="52">
        <f t="shared" si="0"/>
        <v>0.49344978165938863</v>
      </c>
      <c r="L8" s="52">
        <f t="shared" si="0"/>
        <v>0.12300558866533824</v>
      </c>
      <c r="M8" s="52">
        <f t="shared" si="0"/>
        <v>0.42307692307692307</v>
      </c>
      <c r="N8" s="52">
        <f t="shared" si="0"/>
        <v>11.721391486760933</v>
      </c>
      <c r="O8" s="4"/>
      <c r="P8" s="4"/>
      <c r="Q8" s="5"/>
      <c r="R8" s="4"/>
      <c r="S8" s="5"/>
      <c r="T8" s="4"/>
      <c r="U8" s="5"/>
    </row>
    <row r="9" spans="1:2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4"/>
      <c r="P9" s="4"/>
      <c r="Q9" s="5"/>
      <c r="R9" s="4"/>
      <c r="S9" s="5"/>
      <c r="T9" s="4"/>
      <c r="U9" s="5"/>
    </row>
    <row r="10" spans="1:21" ht="42.75" customHeight="1" x14ac:dyDescent="0.2">
      <c r="A10" s="199" t="s">
        <v>110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1"/>
      <c r="O10" s="4"/>
      <c r="P10" s="4"/>
      <c r="Q10" s="5" t="s">
        <v>10</v>
      </c>
      <c r="R10" s="4"/>
      <c r="S10" s="5"/>
      <c r="T10" s="4"/>
      <c r="U10" s="5"/>
    </row>
    <row r="11" spans="1:21" ht="31.5" customHeight="1" x14ac:dyDescent="0.2">
      <c r="A11" s="179" t="s">
        <v>72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</row>
    <row r="12" spans="1:21" ht="30" customHeight="1" x14ac:dyDescent="0.2">
      <c r="A12" s="186" t="s">
        <v>75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</row>
    <row r="13" spans="1:21" ht="19.5" customHeight="1" x14ac:dyDescent="0.2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4" spans="1:21" ht="20.85" customHeight="1" x14ac:dyDescent="0.2">
      <c r="A14" s="2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21" ht="51" customHeight="1" x14ac:dyDescent="0.2">
      <c r="A15" s="202" t="s">
        <v>122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</row>
    <row r="16" spans="1:21" ht="19.350000000000001" customHeight="1" x14ac:dyDescent="0.2">
      <c r="A16" s="20"/>
      <c r="B16" s="20"/>
      <c r="C16" s="184"/>
      <c r="D16" s="184"/>
      <c r="E16" s="204" t="s">
        <v>98</v>
      </c>
      <c r="F16" s="190"/>
      <c r="G16" s="190"/>
      <c r="H16" s="190"/>
      <c r="I16" s="190"/>
      <c r="J16" s="191"/>
      <c r="K16" s="20"/>
      <c r="L16" s="20"/>
      <c r="M16" s="20"/>
      <c r="N16" s="20"/>
    </row>
    <row r="17" spans="1:14" ht="13.5" x14ac:dyDescent="0.2">
      <c r="A17" s="20"/>
      <c r="B17" s="20"/>
      <c r="C17" s="184"/>
      <c r="D17" s="184"/>
      <c r="E17" s="161" t="s">
        <v>6</v>
      </c>
      <c r="F17" s="161"/>
      <c r="G17" s="161" t="s">
        <v>7</v>
      </c>
      <c r="H17" s="161"/>
      <c r="I17" s="161" t="s">
        <v>8</v>
      </c>
      <c r="J17" s="161"/>
      <c r="K17" s="20"/>
      <c r="L17" s="20"/>
      <c r="M17" s="20"/>
      <c r="N17" s="20"/>
    </row>
    <row r="18" spans="1:14" ht="67.5" x14ac:dyDescent="0.2">
      <c r="A18" s="20"/>
      <c r="B18" s="20"/>
      <c r="C18" s="184"/>
      <c r="D18" s="184"/>
      <c r="E18" s="43" t="s">
        <v>3</v>
      </c>
      <c r="F18" s="43" t="s">
        <v>9</v>
      </c>
      <c r="G18" s="43" t="s">
        <v>3</v>
      </c>
      <c r="H18" s="43" t="s">
        <v>9</v>
      </c>
      <c r="I18" s="43" t="s">
        <v>3</v>
      </c>
      <c r="J18" s="43" t="s">
        <v>9</v>
      </c>
      <c r="K18" s="20"/>
      <c r="L18" s="20"/>
      <c r="M18" s="20"/>
      <c r="N18" s="20"/>
    </row>
    <row r="19" spans="1:14" ht="13.5" x14ac:dyDescent="0.2">
      <c r="A19" s="20"/>
      <c r="B19" s="20"/>
      <c r="C19" s="173" t="s">
        <v>119</v>
      </c>
      <c r="D19" s="173"/>
      <c r="E19" s="9">
        <v>709</v>
      </c>
      <c r="F19" s="9">
        <v>34560995</v>
      </c>
      <c r="G19" s="9">
        <v>1106</v>
      </c>
      <c r="H19" s="9">
        <v>17728669</v>
      </c>
      <c r="I19" s="9">
        <v>1259</v>
      </c>
      <c r="J19" s="9">
        <v>21588704</v>
      </c>
      <c r="K19" s="29"/>
      <c r="L19" s="29"/>
      <c r="M19" s="29"/>
      <c r="N19" s="20"/>
    </row>
    <row r="20" spans="1:14" ht="13.5" x14ac:dyDescent="0.2">
      <c r="A20" s="20"/>
      <c r="B20" s="20"/>
      <c r="C20" s="173" t="s">
        <v>120</v>
      </c>
      <c r="D20" s="173"/>
      <c r="E20" s="8">
        <f>'2)_PIL_iepirkuma_veida'!E26</f>
        <v>282</v>
      </c>
      <c r="F20" s="8">
        <f>'2)_PIL_iepirkuma_veida'!F26</f>
        <v>17328336</v>
      </c>
      <c r="G20" s="8">
        <f>'2)_PIL_iepirkuma_veida'!G26</f>
        <v>690</v>
      </c>
      <c r="H20" s="8">
        <f>'2)_PIL_iepirkuma_veida'!H26</f>
        <v>15221084</v>
      </c>
      <c r="I20" s="8">
        <f>'2)_PIL_iepirkuma_veida'!I26</f>
        <v>702</v>
      </c>
      <c r="J20" s="8">
        <f>'2)_PIL_iepirkuma_veida'!J26</f>
        <v>15694660</v>
      </c>
      <c r="K20" s="29"/>
      <c r="L20" s="29"/>
      <c r="M20" s="29"/>
      <c r="N20" s="20"/>
    </row>
    <row r="21" spans="1:14" ht="26.85" customHeight="1" x14ac:dyDescent="0.2">
      <c r="A21" s="20"/>
      <c r="B21" s="20"/>
      <c r="C21" s="198" t="s">
        <v>121</v>
      </c>
      <c r="D21" s="198"/>
      <c r="E21" s="52">
        <f t="shared" ref="E21:J21" si="1">(E20-E19)/ABS(E19)</f>
        <v>-0.60225669957686878</v>
      </c>
      <c r="F21" s="52">
        <f t="shared" si="1"/>
        <v>-0.4986158239946506</v>
      </c>
      <c r="G21" s="52">
        <f t="shared" si="1"/>
        <v>-0.37613019891500904</v>
      </c>
      <c r="H21" s="52">
        <f t="shared" si="1"/>
        <v>-0.14144237223899889</v>
      </c>
      <c r="I21" s="52">
        <f t="shared" si="1"/>
        <v>-0.44241461477362987</v>
      </c>
      <c r="J21" s="52">
        <f t="shared" si="1"/>
        <v>-0.27301518423708993</v>
      </c>
      <c r="K21" s="20"/>
      <c r="L21" s="29"/>
      <c r="M21" s="29"/>
      <c r="N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7.25" customHeight="1" x14ac:dyDescent="0.2">
      <c r="A24" s="199" t="s">
        <v>77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1"/>
    </row>
    <row r="25" spans="1:14" s="15" customFormat="1" ht="45" customHeight="1" x14ac:dyDescent="0.2">
      <c r="A25" s="185" t="s">
        <v>93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</row>
    <row r="26" spans="1:14" x14ac:dyDescent="0.2">
      <c r="A26" s="4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</sheetData>
  <mergeCells count="28">
    <mergeCell ref="G17:H17"/>
    <mergeCell ref="I17:J17"/>
    <mergeCell ref="C16:D18"/>
    <mergeCell ref="A13:N13"/>
    <mergeCell ref="A12:N12"/>
    <mergeCell ref="E16:J16"/>
    <mergeCell ref="E17:F17"/>
    <mergeCell ref="A15:N15"/>
    <mergeCell ref="A25:N25"/>
    <mergeCell ref="C19:D19"/>
    <mergeCell ref="C20:D20"/>
    <mergeCell ref="C21:D21"/>
    <mergeCell ref="A24:N24"/>
    <mergeCell ref="A2:N2"/>
    <mergeCell ref="A3:B5"/>
    <mergeCell ref="C3:H3"/>
    <mergeCell ref="I3:N3"/>
    <mergeCell ref="C4:D4"/>
    <mergeCell ref="E4:F4"/>
    <mergeCell ref="G4:H4"/>
    <mergeCell ref="A11:N11"/>
    <mergeCell ref="A8:B8"/>
    <mergeCell ref="A10:N10"/>
    <mergeCell ref="I4:J4"/>
    <mergeCell ref="K4:L4"/>
    <mergeCell ref="M4:N4"/>
    <mergeCell ref="A6:B6"/>
    <mergeCell ref="A7:B7"/>
  </mergeCells>
  <phoneticPr fontId="24" type="noConversion"/>
  <pageMargins left="0.70866141732283472" right="0.70866141732283472" top="0.19685039370078741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49"/>
  <sheetViews>
    <sheetView topLeftCell="A16" workbookViewId="0">
      <selection activeCell="T30" sqref="T30:T31"/>
    </sheetView>
  </sheetViews>
  <sheetFormatPr defaultRowHeight="12.75" x14ac:dyDescent="0.2"/>
  <sheetData>
    <row r="11" spans="1:8" ht="18.75" x14ac:dyDescent="0.3">
      <c r="A11" s="53" t="s">
        <v>123</v>
      </c>
    </row>
    <row r="12" spans="1:8" ht="10.5" customHeight="1" x14ac:dyDescent="0.2"/>
    <row r="13" spans="1:8" ht="15.75" x14ac:dyDescent="0.25">
      <c r="A13" s="54" t="s">
        <v>0</v>
      </c>
      <c r="H13" s="54" t="s">
        <v>1</v>
      </c>
    </row>
    <row r="14" spans="1:8" ht="8.25" customHeight="1" x14ac:dyDescent="0.2"/>
    <row r="33" spans="1:14" ht="37.5" customHeight="1" x14ac:dyDescent="0.2">
      <c r="A33" s="205" t="s">
        <v>78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</row>
    <row r="34" spans="1:14" ht="35.25" customHeight="1" x14ac:dyDescent="0.2">
      <c r="A34" s="205" t="s">
        <v>99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</row>
    <row r="35" spans="1:14" ht="25.5" customHeight="1" x14ac:dyDescent="0.2">
      <c r="A35" s="205" t="s">
        <v>101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</row>
    <row r="36" spans="1:14" ht="27" customHeight="1" x14ac:dyDescent="0.2">
      <c r="A36" s="205" t="s">
        <v>79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</row>
    <row r="37" spans="1:14" ht="24" customHeight="1" x14ac:dyDescent="0.2">
      <c r="A37" s="205" t="s">
        <v>80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1:14" ht="26.25" customHeight="1" x14ac:dyDescent="0.2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</row>
    <row r="45" spans="1:14" x14ac:dyDescent="0.2">
      <c r="D45" t="s">
        <v>32</v>
      </c>
      <c r="J45" t="s">
        <v>33</v>
      </c>
    </row>
    <row r="46" spans="1:14" ht="89.25" x14ac:dyDescent="0.2">
      <c r="D46" s="103" t="s">
        <v>31</v>
      </c>
      <c r="E46" s="103" t="s">
        <v>100</v>
      </c>
      <c r="F46" s="103" t="s">
        <v>30</v>
      </c>
      <c r="G46" s="103" t="s">
        <v>9</v>
      </c>
      <c r="J46" s="103" t="s">
        <v>31</v>
      </c>
      <c r="K46" s="103" t="s">
        <v>100</v>
      </c>
      <c r="L46" s="103" t="s">
        <v>30</v>
      </c>
      <c r="M46" s="103" t="s">
        <v>9</v>
      </c>
    </row>
    <row r="47" spans="1:14" x14ac:dyDescent="0.2">
      <c r="C47" t="s">
        <v>124</v>
      </c>
      <c r="D47">
        <v>78</v>
      </c>
      <c r="E47">
        <v>3</v>
      </c>
      <c r="F47">
        <v>150</v>
      </c>
      <c r="G47" s="153">
        <v>94.101810999999998</v>
      </c>
      <c r="I47" t="s">
        <v>124</v>
      </c>
      <c r="J47">
        <v>256</v>
      </c>
      <c r="K47">
        <v>0</v>
      </c>
      <c r="L47">
        <v>297</v>
      </c>
      <c r="M47" s="153">
        <v>60.076495999999999</v>
      </c>
    </row>
    <row r="48" spans="1:14" x14ac:dyDescent="0.2">
      <c r="C48" t="s">
        <v>125</v>
      </c>
      <c r="D48">
        <v>85</v>
      </c>
      <c r="E48">
        <v>3</v>
      </c>
      <c r="F48">
        <v>170</v>
      </c>
      <c r="G48" s="153">
        <v>114.622247</v>
      </c>
      <c r="I48" t="s">
        <v>125</v>
      </c>
      <c r="J48">
        <v>236</v>
      </c>
      <c r="K48">
        <v>0</v>
      </c>
      <c r="L48">
        <v>222</v>
      </c>
      <c r="M48" s="153">
        <v>29.560381</v>
      </c>
    </row>
    <row r="49" spans="3:13" x14ac:dyDescent="0.2">
      <c r="C49" t="s">
        <v>126</v>
      </c>
      <c r="D49">
        <v>98</v>
      </c>
      <c r="E49">
        <v>4</v>
      </c>
      <c r="F49">
        <v>179</v>
      </c>
      <c r="G49" s="153">
        <v>108.419169</v>
      </c>
      <c r="I49" t="s">
        <v>126</v>
      </c>
      <c r="J49">
        <v>247</v>
      </c>
      <c r="K49">
        <v>0</v>
      </c>
      <c r="L49">
        <v>297</v>
      </c>
      <c r="M49" s="153">
        <v>42.792037999999998</v>
      </c>
    </row>
  </sheetData>
  <mergeCells count="6">
    <mergeCell ref="A33:N33"/>
    <mergeCell ref="A34:N34"/>
    <mergeCell ref="A36:N36"/>
    <mergeCell ref="A37:N37"/>
    <mergeCell ref="A38:N38"/>
    <mergeCell ref="A35:N35"/>
  </mergeCells>
  <conditionalFormatting sqref="D47:G49">
    <cfRule type="top10" dxfId="7" priority="17" percent="1" rank="10"/>
    <cfRule type="iconSet" priority="18">
      <iconSet iconSet="3Arrows">
        <cfvo type="percent" val="0"/>
        <cfvo type="percent" val="33"/>
        <cfvo type="percent" val="67"/>
      </iconSet>
    </cfRule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{DE2DE419-7FEA-44BC-BA7D-1FE246F2D9A5}</x14:id>
        </ext>
      </extLst>
    </cfRule>
  </conditionalFormatting>
  <conditionalFormatting sqref="J47:M49">
    <cfRule type="top10" dxfId="6" priority="9" percent="1" rank="10"/>
    <cfRule type="iconSet" priority="10">
      <iconSet iconSet="3Arrows">
        <cfvo type="percent" val="0"/>
        <cfvo type="percent" val="33"/>
        <cfvo type="percent" val="67"/>
      </iconSet>
    </cfRule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{752196FF-3FE0-4CA5-9419-26D5813685FA}</x14:id>
        </ext>
      </extLst>
    </cfRule>
  </conditionalFormatting>
  <conditionalFormatting sqref="D47:D49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E47:E49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F47:F49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G47:G4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J47:J4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K47:K4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L47:L49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M47:M4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19685039370078741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2DE419-7FEA-44BC-BA7D-1FE246F2D9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D47:G49</xm:sqref>
        </x14:conditionalFormatting>
        <x14:conditionalFormatting xmlns:xm="http://schemas.microsoft.com/office/excel/2006/main">
          <x14:cfRule type="dataBar" id="{752196FF-3FE0-4CA5-9419-26D581368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J47:M49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6"/>
  <sheetViews>
    <sheetView topLeftCell="A10" workbookViewId="0">
      <selection activeCell="H22" sqref="H22"/>
    </sheetView>
  </sheetViews>
  <sheetFormatPr defaultRowHeight="12.75" x14ac:dyDescent="0.2"/>
  <cols>
    <col min="1" max="1" width="17.140625" customWidth="1"/>
    <col min="2" max="2" width="21.5703125" customWidth="1"/>
    <col min="3" max="3" width="11.7109375" customWidth="1"/>
    <col min="4" max="4" width="14.42578125" customWidth="1"/>
    <col min="5" max="5" width="15" customWidth="1"/>
    <col min="6" max="6" width="14.28515625" customWidth="1"/>
    <col min="7" max="7" width="18.42578125" customWidth="1"/>
    <col min="8" max="8" width="13.5703125" customWidth="1"/>
    <col min="9" max="9" width="12.85546875" customWidth="1"/>
  </cols>
  <sheetData>
    <row r="10" spans="1:11" ht="8.25" customHeight="1" x14ac:dyDescent="0.2"/>
    <row r="11" spans="1:11" ht="32.25" customHeight="1" x14ac:dyDescent="0.25">
      <c r="A11" s="210" t="s">
        <v>127</v>
      </c>
      <c r="B11" s="210"/>
      <c r="C11" s="210"/>
      <c r="D11" s="210"/>
      <c r="E11" s="210"/>
      <c r="F11" s="210"/>
      <c r="G11" s="210"/>
      <c r="H11" s="210"/>
      <c r="I11" s="66"/>
      <c r="J11" s="65"/>
      <c r="K11" s="65"/>
    </row>
    <row r="12" spans="1:11" ht="7.5" customHeight="1" x14ac:dyDescent="0.2"/>
    <row r="13" spans="1:11" ht="76.5" x14ac:dyDescent="0.2">
      <c r="A13" s="68"/>
      <c r="B13" s="69"/>
      <c r="C13" s="154" t="s">
        <v>14</v>
      </c>
      <c r="D13" s="155" t="s">
        <v>15</v>
      </c>
      <c r="E13" s="155" t="s">
        <v>11</v>
      </c>
      <c r="F13" s="155" t="s">
        <v>12</v>
      </c>
      <c r="G13" s="155" t="s">
        <v>16</v>
      </c>
      <c r="H13" s="155" t="s">
        <v>13</v>
      </c>
    </row>
    <row r="14" spans="1:11" ht="15" x14ac:dyDescent="0.25">
      <c r="A14" s="67" t="s">
        <v>119</v>
      </c>
      <c r="B14" s="67"/>
      <c r="C14" s="120">
        <v>894</v>
      </c>
      <c r="D14" s="120">
        <v>121</v>
      </c>
      <c r="E14" s="122">
        <f>D14/C14</f>
        <v>0.13534675615212527</v>
      </c>
      <c r="F14" s="121">
        <v>489403669</v>
      </c>
      <c r="G14" s="121">
        <v>156056624</v>
      </c>
      <c r="H14" s="123">
        <f>G14/F14</f>
        <v>0.31887097274703924</v>
      </c>
    </row>
    <row r="15" spans="1:11" ht="15" x14ac:dyDescent="0.25">
      <c r="A15" s="64" t="s">
        <v>120</v>
      </c>
      <c r="B15" s="64"/>
      <c r="C15" s="120">
        <v>1315</v>
      </c>
      <c r="D15" s="120">
        <f>23+2</f>
        <v>25</v>
      </c>
      <c r="E15" s="122">
        <f>D15/C15</f>
        <v>1.9011406844106463E-2</v>
      </c>
      <c r="F15" s="121">
        <v>449572142</v>
      </c>
      <c r="G15" s="121">
        <v>95444112</v>
      </c>
      <c r="H15" s="123">
        <f>G15/F15</f>
        <v>0.21229988044944298</v>
      </c>
    </row>
    <row r="16" spans="1:11" ht="17.25" customHeight="1" x14ac:dyDescent="0.2">
      <c r="A16" s="208" t="s">
        <v>121</v>
      </c>
      <c r="B16" s="209"/>
      <c r="C16" s="60">
        <f>(C15-C14)/ABS(C14)</f>
        <v>0.470917225950783</v>
      </c>
      <c r="D16" s="60">
        <f>(D15-D14)/ABS(D14)</f>
        <v>-0.79338842975206614</v>
      </c>
      <c r="E16" s="61"/>
      <c r="F16" s="60">
        <f>(F15-F14)/ABS(F14)</f>
        <v>-8.1387879828093396E-2</v>
      </c>
      <c r="G16" s="62">
        <f>(G15-G14)/G14</f>
        <v>-0.38840076407137963</v>
      </c>
      <c r="H16" s="63"/>
    </row>
    <row r="17" spans="1:9" ht="35.25" customHeight="1" x14ac:dyDescent="0.2">
      <c r="A17" s="207" t="s">
        <v>81</v>
      </c>
      <c r="B17" s="207"/>
      <c r="C17" s="207"/>
      <c r="D17" s="207"/>
      <c r="E17" s="207"/>
      <c r="F17" s="207"/>
      <c r="G17" s="207"/>
      <c r="H17" s="207"/>
      <c r="I17" s="73"/>
    </row>
    <row r="18" spans="1:9" ht="24" customHeight="1" x14ac:dyDescent="0.2">
      <c r="A18" s="207" t="s">
        <v>17</v>
      </c>
      <c r="B18" s="207"/>
      <c r="C18" s="207"/>
      <c r="D18" s="207"/>
      <c r="E18" s="207"/>
      <c r="F18" s="207"/>
      <c r="G18" s="207"/>
      <c r="H18" s="207"/>
      <c r="I18" s="71"/>
    </row>
    <row r="19" spans="1:9" ht="30" customHeight="1" x14ac:dyDescent="0.25">
      <c r="A19" s="210" t="s">
        <v>128</v>
      </c>
      <c r="B19" s="210"/>
      <c r="C19" s="210"/>
      <c r="D19" s="210"/>
      <c r="E19" s="210"/>
      <c r="F19" s="210"/>
      <c r="G19" s="210"/>
      <c r="H19" s="210"/>
      <c r="I19" s="66"/>
    </row>
    <row r="20" spans="1:9" ht="8.25" customHeight="1" x14ac:dyDescent="0.2"/>
    <row r="21" spans="1:9" ht="76.5" x14ac:dyDescent="0.2">
      <c r="A21" s="68"/>
      <c r="B21" s="69"/>
      <c r="C21" s="154" t="s">
        <v>14</v>
      </c>
      <c r="D21" s="155" t="s">
        <v>19</v>
      </c>
      <c r="E21" s="155" t="s">
        <v>11</v>
      </c>
      <c r="F21" s="155" t="s">
        <v>12</v>
      </c>
      <c r="G21" s="155" t="s">
        <v>16</v>
      </c>
      <c r="H21" s="155" t="s">
        <v>13</v>
      </c>
    </row>
    <row r="22" spans="1:9" ht="15" x14ac:dyDescent="0.25">
      <c r="A22" s="67" t="s">
        <v>119</v>
      </c>
      <c r="B22" s="67"/>
      <c r="C22" s="55">
        <v>3196</v>
      </c>
      <c r="D22" s="55">
        <v>318</v>
      </c>
      <c r="E22" s="56">
        <f>D22/C22</f>
        <v>9.9499374217772218E-2</v>
      </c>
      <c r="F22" s="57">
        <v>66119158</v>
      </c>
      <c r="G22" s="58">
        <v>7658221</v>
      </c>
      <c r="H22" s="59">
        <f>G22/F22</f>
        <v>0.11582453908442089</v>
      </c>
    </row>
    <row r="23" spans="1:9" ht="15" x14ac:dyDescent="0.25">
      <c r="A23" s="64" t="s">
        <v>120</v>
      </c>
      <c r="B23" s="64"/>
      <c r="C23" s="57">
        <f>'1)_PIL_kopsavilkums'!O10</f>
        <v>1674</v>
      </c>
      <c r="D23" s="55">
        <v>203</v>
      </c>
      <c r="E23" s="56">
        <f>D23/C23</f>
        <v>0.12126642771804062</v>
      </c>
      <c r="F23" s="57">
        <v>48244080</v>
      </c>
      <c r="G23" s="58">
        <v>6119682</v>
      </c>
      <c r="H23" s="59">
        <f>G23/F23</f>
        <v>0.12684835113448117</v>
      </c>
    </row>
    <row r="24" spans="1:9" ht="15" customHeight="1" x14ac:dyDescent="0.2">
      <c r="A24" s="208" t="s">
        <v>121</v>
      </c>
      <c r="B24" s="209"/>
      <c r="C24" s="60">
        <f>(C23-C22)/ABS(C22)</f>
        <v>-0.47622027534418021</v>
      </c>
      <c r="D24" s="60">
        <f>(D23-D22)/ABS(D22)</f>
        <v>-0.36163522012578614</v>
      </c>
      <c r="E24" s="61"/>
      <c r="F24" s="60">
        <f>(F23-F22)/ABS(F22)</f>
        <v>-0.27034642516167551</v>
      </c>
      <c r="G24" s="62">
        <f>(G23-G22)/G22</f>
        <v>-0.20090031353234647</v>
      </c>
      <c r="H24" s="63"/>
    </row>
    <row r="25" spans="1:9" ht="12.75" customHeight="1" x14ac:dyDescent="0.2">
      <c r="A25" s="206" t="s">
        <v>18</v>
      </c>
      <c r="B25" s="206"/>
      <c r="C25" s="206"/>
      <c r="D25" s="206"/>
      <c r="E25" s="206"/>
      <c r="F25" s="206"/>
      <c r="G25" s="206"/>
      <c r="H25" s="206"/>
    </row>
    <row r="26" spans="1:9" ht="24.75" customHeight="1" x14ac:dyDescent="0.2">
      <c r="A26" s="207" t="s">
        <v>17</v>
      </c>
      <c r="B26" s="207"/>
      <c r="C26" s="207"/>
      <c r="D26" s="207"/>
      <c r="E26" s="207"/>
      <c r="F26" s="207"/>
      <c r="G26" s="207"/>
      <c r="H26" s="207"/>
    </row>
  </sheetData>
  <mergeCells count="8">
    <mergeCell ref="A25:H25"/>
    <mergeCell ref="A26:H26"/>
    <mergeCell ref="A16:B16"/>
    <mergeCell ref="A24:B24"/>
    <mergeCell ref="A11:H11"/>
    <mergeCell ref="A17:H17"/>
    <mergeCell ref="A18:H18"/>
    <mergeCell ref="A19:H19"/>
  </mergeCells>
  <pageMargins left="0.70866141732283472" right="0.70866141732283472" top="0.19685039370078741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29"/>
  <sheetViews>
    <sheetView topLeftCell="A7" workbookViewId="0">
      <selection activeCell="G15" sqref="G15"/>
    </sheetView>
  </sheetViews>
  <sheetFormatPr defaultRowHeight="12.75" x14ac:dyDescent="0.2"/>
  <cols>
    <col min="2" max="2" width="27.42578125" customWidth="1"/>
    <col min="3" max="3" width="12.7109375" customWidth="1"/>
    <col min="4" max="4" width="15.5703125" customWidth="1"/>
    <col min="5" max="5" width="15.85546875" customWidth="1"/>
    <col min="6" max="6" width="15" customWidth="1"/>
    <col min="7" max="7" width="21.5703125" customWidth="1"/>
    <col min="8" max="8" width="14.42578125" customWidth="1"/>
    <col min="9" max="9" width="12.42578125" customWidth="1"/>
  </cols>
  <sheetData>
    <row r="11" spans="1:14" ht="29.25" customHeight="1" x14ac:dyDescent="0.25">
      <c r="A11" s="211" t="s">
        <v>129</v>
      </c>
      <c r="B11" s="211"/>
      <c r="C11" s="211"/>
      <c r="D11" s="211"/>
      <c r="E11" s="211"/>
      <c r="F11" s="211"/>
      <c r="G11" s="211"/>
      <c r="H11" s="211"/>
      <c r="I11" s="72"/>
      <c r="J11" s="72"/>
      <c r="K11" s="66"/>
      <c r="L11" s="66"/>
      <c r="M11" s="66"/>
      <c r="N11" s="66"/>
    </row>
    <row r="12" spans="1:14" ht="7.5" customHeight="1" x14ac:dyDescent="0.2"/>
    <row r="13" spans="1:14" ht="63.75" x14ac:dyDescent="0.2">
      <c r="A13" s="68"/>
      <c r="B13" s="69"/>
      <c r="C13" s="154" t="s">
        <v>14</v>
      </c>
      <c r="D13" s="155" t="s">
        <v>20</v>
      </c>
      <c r="E13" s="155" t="s">
        <v>11</v>
      </c>
      <c r="F13" s="155" t="s">
        <v>12</v>
      </c>
      <c r="G13" s="155" t="s">
        <v>21</v>
      </c>
      <c r="H13" s="155" t="s">
        <v>13</v>
      </c>
    </row>
    <row r="14" spans="1:14" ht="15" x14ac:dyDescent="0.25">
      <c r="A14" s="67" t="s">
        <v>119</v>
      </c>
      <c r="B14" s="67"/>
      <c r="C14" s="120">
        <v>894</v>
      </c>
      <c r="D14" s="120">
        <v>121</v>
      </c>
      <c r="E14" s="122">
        <f>D14/C14</f>
        <v>0.13534675615212527</v>
      </c>
      <c r="F14" s="121">
        <v>489403669</v>
      </c>
      <c r="G14" s="121">
        <v>156056624</v>
      </c>
      <c r="H14" s="123">
        <f>G14/F14</f>
        <v>0.31887097274703924</v>
      </c>
    </row>
    <row r="15" spans="1:14" ht="15" x14ac:dyDescent="0.25">
      <c r="A15" s="64" t="s">
        <v>120</v>
      </c>
      <c r="B15" s="64"/>
      <c r="C15" s="120">
        <v>1315</v>
      </c>
      <c r="D15" s="120">
        <f>200+1+12</f>
        <v>213</v>
      </c>
      <c r="E15" s="122">
        <f>D15/C15</f>
        <v>0.16197718631178706</v>
      </c>
      <c r="F15" s="121">
        <v>449572142</v>
      </c>
      <c r="G15" s="121">
        <f>100106047+2403223</f>
        <v>102509270</v>
      </c>
      <c r="H15" s="123">
        <f>G15/F15</f>
        <v>0.22801517359142773</v>
      </c>
    </row>
    <row r="16" spans="1:14" ht="18" customHeight="1" x14ac:dyDescent="0.2">
      <c r="A16" s="208" t="s">
        <v>121</v>
      </c>
      <c r="B16" s="209"/>
      <c r="C16" s="60">
        <f>(C15-C14)/ABS(C14)</f>
        <v>0.470917225950783</v>
      </c>
      <c r="D16" s="60">
        <f>(D15-D14)/ABS(D14)</f>
        <v>0.76033057851239672</v>
      </c>
      <c r="E16" s="61"/>
      <c r="F16" s="60">
        <f>(F15-F14)/ABS(F14)</f>
        <v>-8.1387879828093396E-2</v>
      </c>
      <c r="G16" s="62">
        <f>(G15-G14)/G14</f>
        <v>-0.34312772266558833</v>
      </c>
      <c r="H16" s="63"/>
    </row>
    <row r="17" spans="1:14" ht="12.75" customHeight="1" x14ac:dyDescent="0.2">
      <c r="G17" s="74"/>
    </row>
    <row r="18" spans="1:14" ht="33" customHeight="1" x14ac:dyDescent="0.2">
      <c r="A18" s="207" t="s">
        <v>82</v>
      </c>
      <c r="B18" s="207"/>
      <c r="C18" s="207"/>
      <c r="D18" s="207"/>
      <c r="E18" s="207"/>
      <c r="F18" s="207"/>
      <c r="G18" s="207"/>
      <c r="H18" s="207"/>
      <c r="I18" s="73"/>
    </row>
    <row r="19" spans="1:14" x14ac:dyDescent="0.2">
      <c r="A19" s="71" t="s">
        <v>22</v>
      </c>
      <c r="B19" s="71"/>
      <c r="C19" s="71"/>
      <c r="D19" s="71"/>
      <c r="E19" s="71"/>
      <c r="F19" s="71"/>
      <c r="G19" s="71"/>
      <c r="H19" s="71"/>
      <c r="I19" s="71"/>
    </row>
    <row r="20" spans="1:14" ht="3" customHeight="1" x14ac:dyDescent="0.2"/>
    <row r="21" spans="1:14" ht="37.5" customHeight="1" x14ac:dyDescent="0.2">
      <c r="A21" s="202" t="s">
        <v>130</v>
      </c>
      <c r="B21" s="202"/>
      <c r="C21" s="202"/>
      <c r="D21" s="202"/>
      <c r="E21" s="202"/>
      <c r="F21" s="202"/>
      <c r="G21" s="202"/>
      <c r="H21" s="202"/>
      <c r="I21" s="70"/>
      <c r="J21" s="70"/>
      <c r="K21" s="70"/>
      <c r="L21" s="70"/>
      <c r="M21" s="70"/>
      <c r="N21" s="70"/>
    </row>
    <row r="22" spans="1:14" ht="7.5" customHeight="1" x14ac:dyDescent="0.2"/>
    <row r="23" spans="1:14" ht="63.75" x14ac:dyDescent="0.2">
      <c r="A23" s="68"/>
      <c r="B23" s="69"/>
      <c r="C23" s="154" t="s">
        <v>14</v>
      </c>
      <c r="D23" s="155" t="s">
        <v>20</v>
      </c>
      <c r="E23" s="155" t="s">
        <v>11</v>
      </c>
      <c r="F23" s="155" t="s">
        <v>12</v>
      </c>
      <c r="G23" s="155" t="s">
        <v>21</v>
      </c>
      <c r="H23" s="155" t="s">
        <v>13</v>
      </c>
    </row>
    <row r="24" spans="1:14" ht="15" x14ac:dyDescent="0.25">
      <c r="A24" s="67" t="s">
        <v>119</v>
      </c>
      <c r="B24" s="67"/>
      <c r="C24" s="55">
        <v>3196</v>
      </c>
      <c r="D24" s="55">
        <v>318</v>
      </c>
      <c r="E24" s="56">
        <f>D24/C24</f>
        <v>9.9499374217772218E-2</v>
      </c>
      <c r="F24" s="57">
        <v>66119158</v>
      </c>
      <c r="G24" s="58">
        <v>7658221</v>
      </c>
      <c r="H24" s="59">
        <f>G24/F24</f>
        <v>0.11582453908442089</v>
      </c>
    </row>
    <row r="25" spans="1:14" ht="15" x14ac:dyDescent="0.25">
      <c r="A25" s="64" t="s">
        <v>120</v>
      </c>
      <c r="B25" s="64"/>
      <c r="C25" s="57">
        <f>'1)_PIL_kopsavilkums'!O10</f>
        <v>1674</v>
      </c>
      <c r="D25" s="55">
        <v>82</v>
      </c>
      <c r="E25" s="56">
        <f>D25/C25</f>
        <v>4.8984468339307051E-2</v>
      </c>
      <c r="F25" s="57">
        <v>48244080</v>
      </c>
      <c r="G25" s="58">
        <v>2542640</v>
      </c>
      <c r="H25" s="59">
        <f>G25/F25</f>
        <v>5.2703668512281712E-2</v>
      </c>
    </row>
    <row r="26" spans="1:14" ht="16.5" customHeight="1" x14ac:dyDescent="0.2">
      <c r="A26" s="208" t="s">
        <v>121</v>
      </c>
      <c r="B26" s="209"/>
      <c r="C26" s="60">
        <f>(C25-C24)/ABS(C24)</f>
        <v>-0.47622027534418021</v>
      </c>
      <c r="D26" s="60">
        <f>(D25-D24)/ABS(D24)</f>
        <v>-0.74213836477987416</v>
      </c>
      <c r="E26" s="61"/>
      <c r="F26" s="60">
        <f>(F25-F24)/ABS(F24)</f>
        <v>-0.27034642516167551</v>
      </c>
      <c r="G26" s="62">
        <f>(G25-G24)/G24</f>
        <v>-0.66798555434741302</v>
      </c>
      <c r="H26" s="63"/>
    </row>
    <row r="27" spans="1:14" ht="13.5" customHeight="1" x14ac:dyDescent="0.2">
      <c r="A27" s="75"/>
      <c r="B27" s="75"/>
      <c r="C27" s="76"/>
      <c r="D27" s="76"/>
      <c r="E27" s="76"/>
      <c r="F27" s="76"/>
      <c r="G27" s="74"/>
      <c r="H27" s="77"/>
    </row>
    <row r="28" spans="1:14" ht="11.25" customHeight="1" x14ac:dyDescent="0.2">
      <c r="A28" s="207" t="s">
        <v>23</v>
      </c>
      <c r="B28" s="207"/>
      <c r="C28" s="207"/>
      <c r="D28" s="207"/>
      <c r="E28" s="207"/>
      <c r="F28" s="207"/>
      <c r="G28" s="207"/>
      <c r="H28" s="207"/>
    </row>
    <row r="29" spans="1:14" x14ac:dyDescent="0.2">
      <c r="A29" s="71" t="s">
        <v>22</v>
      </c>
    </row>
  </sheetData>
  <mergeCells count="6">
    <mergeCell ref="A28:H28"/>
    <mergeCell ref="A26:B26"/>
    <mergeCell ref="A21:H21"/>
    <mergeCell ref="A11:H11"/>
    <mergeCell ref="A18:H18"/>
    <mergeCell ref="A16:B16"/>
  </mergeCells>
  <pageMargins left="0.70866141732283472" right="0.70866141732283472" top="0.19685039370078741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6"/>
  <sheetViews>
    <sheetView topLeftCell="A16" workbookViewId="0">
      <selection activeCell="L49" sqref="L49"/>
    </sheetView>
  </sheetViews>
  <sheetFormatPr defaultRowHeight="12.75" x14ac:dyDescent="0.2"/>
  <cols>
    <col min="7" max="7" width="12.5703125" customWidth="1"/>
    <col min="9" max="9" width="14.140625" customWidth="1"/>
  </cols>
  <sheetData>
    <row r="11" spans="1:10" ht="34.5" customHeight="1" x14ac:dyDescent="0.2">
      <c r="A11" s="212" t="s">
        <v>46</v>
      </c>
      <c r="B11" s="212"/>
      <c r="C11" s="212"/>
      <c r="D11" s="212"/>
      <c r="E11" s="212"/>
      <c r="F11" s="212"/>
      <c r="G11" s="212"/>
      <c r="H11" s="212"/>
      <c r="I11" s="212"/>
      <c r="J11" s="212"/>
    </row>
    <row r="36" spans="1:13" ht="42.75" customHeight="1" x14ac:dyDescent="0.2">
      <c r="A36" s="213" t="s">
        <v>83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40" spans="1:13" x14ac:dyDescent="0.2">
      <c r="D40" t="s">
        <v>42</v>
      </c>
      <c r="E40" t="s">
        <v>43</v>
      </c>
      <c r="F40" t="s">
        <v>44</v>
      </c>
      <c r="G40" t="s">
        <v>45</v>
      </c>
    </row>
    <row r="41" spans="1:13" x14ac:dyDescent="0.2">
      <c r="C41" t="s">
        <v>35</v>
      </c>
      <c r="D41">
        <v>258</v>
      </c>
      <c r="E41" s="107">
        <v>163.187083</v>
      </c>
      <c r="F41">
        <v>544</v>
      </c>
      <c r="G41" s="107">
        <v>110.50492199999999</v>
      </c>
      <c r="I41" s="107"/>
    </row>
    <row r="42" spans="1:13" x14ac:dyDescent="0.2">
      <c r="C42" s="109" t="s">
        <v>36</v>
      </c>
      <c r="D42" s="109">
        <v>323</v>
      </c>
      <c r="E42" s="110">
        <v>406.67149000000001</v>
      </c>
      <c r="F42" s="109">
        <v>744</v>
      </c>
      <c r="G42" s="110">
        <v>154.91711799999999</v>
      </c>
      <c r="I42" s="107"/>
    </row>
    <row r="43" spans="1:13" x14ac:dyDescent="0.2">
      <c r="C43" s="109" t="s">
        <v>37</v>
      </c>
      <c r="D43" s="109">
        <v>328</v>
      </c>
      <c r="E43" s="110">
        <v>310.35264000000001</v>
      </c>
      <c r="F43" s="109">
        <v>687</v>
      </c>
      <c r="G43" s="110">
        <v>123.844688</v>
      </c>
      <c r="I43" s="108"/>
    </row>
    <row r="44" spans="1:13" x14ac:dyDescent="0.2">
      <c r="C44" s="109" t="s">
        <v>38</v>
      </c>
      <c r="D44" s="109">
        <v>389</v>
      </c>
      <c r="E44" s="110">
        <v>301.407759</v>
      </c>
      <c r="F44" s="109">
        <v>531</v>
      </c>
      <c r="G44" s="110">
        <v>71.127697999999995</v>
      </c>
      <c r="I44" s="107"/>
    </row>
    <row r="45" spans="1:13" x14ac:dyDescent="0.2">
      <c r="C45" s="109" t="s">
        <v>39</v>
      </c>
      <c r="D45" s="109">
        <v>330</v>
      </c>
      <c r="E45" s="110">
        <v>508.36058000000003</v>
      </c>
      <c r="F45" s="109">
        <v>424</v>
      </c>
      <c r="G45" s="110">
        <v>65.364176999999998</v>
      </c>
      <c r="I45" s="107"/>
    </row>
    <row r="46" spans="1:13" x14ac:dyDescent="0.2">
      <c r="C46" s="109" t="s">
        <v>40</v>
      </c>
      <c r="D46" s="109">
        <v>375</v>
      </c>
      <c r="E46" s="110">
        <v>258.22252300000002</v>
      </c>
      <c r="F46" s="109">
        <v>671</v>
      </c>
      <c r="G46" s="110">
        <v>144.38638</v>
      </c>
      <c r="I46" s="107"/>
    </row>
    <row r="47" spans="1:13" x14ac:dyDescent="0.2">
      <c r="C47" s="109" t="s">
        <v>41</v>
      </c>
      <c r="D47" s="109">
        <v>453</v>
      </c>
      <c r="E47" s="110">
        <v>323.10068000000001</v>
      </c>
      <c r="F47" s="109">
        <v>522</v>
      </c>
      <c r="G47" s="110">
        <v>92.490590999999995</v>
      </c>
      <c r="I47" s="107"/>
    </row>
    <row r="48" spans="1:13" x14ac:dyDescent="0.2">
      <c r="C48" s="109" t="s">
        <v>58</v>
      </c>
      <c r="D48" s="109">
        <v>348</v>
      </c>
      <c r="E48" s="110">
        <v>275.7</v>
      </c>
      <c r="F48" s="109">
        <v>457</v>
      </c>
      <c r="G48" s="110">
        <v>52.1</v>
      </c>
    </row>
    <row r="49" spans="3:7" x14ac:dyDescent="0.2">
      <c r="C49" s="109" t="s">
        <v>60</v>
      </c>
      <c r="D49" s="109">
        <v>287</v>
      </c>
      <c r="E49" s="110">
        <v>217.7</v>
      </c>
      <c r="F49" s="109">
        <v>440</v>
      </c>
      <c r="G49" s="110">
        <v>85.4</v>
      </c>
    </row>
    <row r="50" spans="3:7" x14ac:dyDescent="0.2">
      <c r="C50" s="109" t="s">
        <v>61</v>
      </c>
      <c r="D50" s="109">
        <v>300</v>
      </c>
      <c r="E50" s="110">
        <v>333</v>
      </c>
      <c r="F50" s="109">
        <v>648</v>
      </c>
      <c r="G50" s="110">
        <v>140.80000000000001</v>
      </c>
    </row>
    <row r="51" spans="3:7" x14ac:dyDescent="0.2">
      <c r="C51" s="109" t="s">
        <v>62</v>
      </c>
      <c r="D51" s="109">
        <v>350</v>
      </c>
      <c r="E51" s="110">
        <v>306.5</v>
      </c>
      <c r="F51" s="109">
        <v>541</v>
      </c>
      <c r="G51" s="110">
        <v>130.30000000000001</v>
      </c>
    </row>
    <row r="52" spans="3:7" x14ac:dyDescent="0.2">
      <c r="C52" s="109" t="s">
        <v>69</v>
      </c>
      <c r="D52" s="109">
        <v>333</v>
      </c>
      <c r="E52" s="110">
        <v>374.7</v>
      </c>
      <c r="F52" s="109">
        <v>561</v>
      </c>
      <c r="G52" s="110">
        <v>114.6</v>
      </c>
    </row>
    <row r="53" spans="3:7" x14ac:dyDescent="0.2">
      <c r="C53" s="109" t="s">
        <v>70</v>
      </c>
      <c r="D53" s="109">
        <v>254</v>
      </c>
      <c r="E53" s="110">
        <v>301.54679599999997</v>
      </c>
      <c r="F53" s="109">
        <v>373</v>
      </c>
      <c r="G53" s="110">
        <v>83.735808000000006</v>
      </c>
    </row>
    <row r="54" spans="3:7" x14ac:dyDescent="0.2">
      <c r="C54" s="109" t="s">
        <v>90</v>
      </c>
      <c r="D54" s="109">
        <v>381</v>
      </c>
      <c r="E54" s="110">
        <v>347.879727</v>
      </c>
      <c r="F54" s="109">
        <v>731</v>
      </c>
      <c r="G54" s="110">
        <v>183.777579</v>
      </c>
    </row>
    <row r="55" spans="3:7" x14ac:dyDescent="0.2">
      <c r="C55" s="109" t="s">
        <v>107</v>
      </c>
      <c r="D55" s="109">
        <v>508</v>
      </c>
      <c r="E55" s="110">
        <v>556.79999999999995</v>
      </c>
      <c r="F55" s="109">
        <v>799</v>
      </c>
      <c r="G55" s="110">
        <v>169.9</v>
      </c>
    </row>
    <row r="56" spans="3:7" x14ac:dyDescent="0.2">
      <c r="C56" s="109" t="s">
        <v>131</v>
      </c>
      <c r="D56" s="109">
        <v>499</v>
      </c>
      <c r="E56" s="110">
        <v>317.14322700000002</v>
      </c>
      <c r="F56" s="109">
        <v>816</v>
      </c>
      <c r="G56" s="110">
        <v>132.42891499999999</v>
      </c>
    </row>
  </sheetData>
  <mergeCells count="2">
    <mergeCell ref="A11:J11"/>
    <mergeCell ref="A36:M36"/>
  </mergeCells>
  <conditionalFormatting sqref="D41:G56">
    <cfRule type="top10" dxfId="5" priority="5" percent="1" rank="10"/>
    <cfRule type="iconSet" priority="6">
      <iconSet iconSet="3Arrows">
        <cfvo type="percent" val="0"/>
        <cfvo type="percent" val="33"/>
        <cfvo type="percent" val="67"/>
      </iconSet>
    </cfRule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{22D8A148-21DD-468C-8BCC-D59ECAE040A6}</x14:id>
        </ext>
      </extLst>
    </cfRule>
  </conditionalFormatting>
  <conditionalFormatting sqref="D41:D5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41:E5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41:F5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G41:G5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D8A148-21DD-468C-8BCC-D59ECAE040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D41:G56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54"/>
  <sheetViews>
    <sheetView topLeftCell="A10" workbookViewId="0">
      <selection activeCell="Q46" sqref="Q46"/>
    </sheetView>
  </sheetViews>
  <sheetFormatPr defaultRowHeight="12.75" x14ac:dyDescent="0.2"/>
  <sheetData>
    <row r="11" spans="1:13" ht="39" customHeight="1" x14ac:dyDescent="0.2">
      <c r="A11" s="212" t="s">
        <v>52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32" spans="1:14" ht="40.5" customHeight="1" x14ac:dyDescent="0.2">
      <c r="A32" s="213" t="s">
        <v>84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</row>
    <row r="34" spans="1:14" ht="27.75" customHeight="1" x14ac:dyDescent="0.2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4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spans="1:14" x14ac:dyDescent="0.2">
      <c r="B36" t="s">
        <v>47</v>
      </c>
      <c r="C36" t="s">
        <v>48</v>
      </c>
      <c r="D36" t="s">
        <v>49</v>
      </c>
      <c r="F36" t="s">
        <v>63</v>
      </c>
    </row>
    <row r="37" spans="1:14" x14ac:dyDescent="0.2">
      <c r="A37" t="s">
        <v>35</v>
      </c>
      <c r="B37" s="109">
        <v>799</v>
      </c>
      <c r="C37" s="109">
        <v>64</v>
      </c>
      <c r="D37" s="109">
        <v>203</v>
      </c>
      <c r="F37">
        <f>B37-(C37+D37)</f>
        <v>532</v>
      </c>
      <c r="J37" s="111" t="s">
        <v>50</v>
      </c>
      <c r="K37" s="111" t="s">
        <v>51</v>
      </c>
      <c r="L37" s="111" t="s">
        <v>54</v>
      </c>
    </row>
    <row r="38" spans="1:14" x14ac:dyDescent="0.2">
      <c r="A38" t="s">
        <v>36</v>
      </c>
      <c r="B38" s="109">
        <v>1062</v>
      </c>
      <c r="C38" s="109">
        <v>82</v>
      </c>
      <c r="D38" s="109">
        <v>268</v>
      </c>
      <c r="E38" s="109"/>
      <c r="F38" s="109">
        <f t="shared" ref="F38:F52" si="0">B38-(C38+D38)</f>
        <v>712</v>
      </c>
      <c r="I38" t="s">
        <v>35</v>
      </c>
      <c r="J38" s="59">
        <f t="shared" ref="J38:J44" si="1">C37/B37</f>
        <v>8.0100125156445559E-2</v>
      </c>
      <c r="K38" s="59">
        <f t="shared" ref="K38:K44" si="2">D37/B37</f>
        <v>0.25406758448060074</v>
      </c>
      <c r="L38" s="59">
        <f t="shared" ref="L38:L44" si="3">F37/B37</f>
        <v>0.66583229036295366</v>
      </c>
    </row>
    <row r="39" spans="1:14" x14ac:dyDescent="0.2">
      <c r="A39" t="s">
        <v>37</v>
      </c>
      <c r="B39" s="109">
        <v>1007</v>
      </c>
      <c r="C39" s="109">
        <v>102</v>
      </c>
      <c r="D39" s="109">
        <v>247</v>
      </c>
      <c r="E39" s="109"/>
      <c r="F39" s="109">
        <f t="shared" si="0"/>
        <v>658</v>
      </c>
      <c r="I39" t="s">
        <v>36</v>
      </c>
      <c r="J39" s="59">
        <f t="shared" si="1"/>
        <v>7.7212806026365349E-2</v>
      </c>
      <c r="K39" s="59">
        <f t="shared" si="2"/>
        <v>0.25235404896421848</v>
      </c>
      <c r="L39" s="59">
        <f t="shared" si="3"/>
        <v>0.6704331450094162</v>
      </c>
    </row>
    <row r="40" spans="1:14" x14ac:dyDescent="0.2">
      <c r="A40" t="s">
        <v>38</v>
      </c>
      <c r="B40" s="109">
        <v>918</v>
      </c>
      <c r="C40" s="109">
        <v>84</v>
      </c>
      <c r="D40" s="109">
        <v>175</v>
      </c>
      <c r="E40" s="109"/>
      <c r="F40" s="109">
        <f t="shared" si="0"/>
        <v>659</v>
      </c>
      <c r="I40" t="s">
        <v>37</v>
      </c>
      <c r="J40" s="59">
        <f t="shared" si="1"/>
        <v>0.10129096325719961</v>
      </c>
      <c r="K40" s="59">
        <f t="shared" si="2"/>
        <v>0.24528301886792453</v>
      </c>
      <c r="L40" s="59">
        <f t="shared" si="3"/>
        <v>0.65342601787487586</v>
      </c>
    </row>
    <row r="41" spans="1:14" x14ac:dyDescent="0.2">
      <c r="A41" t="s">
        <v>39</v>
      </c>
      <c r="B41" s="109">
        <v>750</v>
      </c>
      <c r="C41" s="109">
        <v>99</v>
      </c>
      <c r="D41" s="109">
        <v>192</v>
      </c>
      <c r="E41" s="109"/>
      <c r="F41" s="109">
        <f t="shared" si="0"/>
        <v>459</v>
      </c>
      <c r="I41" t="s">
        <v>38</v>
      </c>
      <c r="J41" s="59">
        <f t="shared" si="1"/>
        <v>9.1503267973856203E-2</v>
      </c>
      <c r="K41" s="59">
        <f t="shared" si="2"/>
        <v>0.19063180827886711</v>
      </c>
      <c r="L41" s="59">
        <f t="shared" si="3"/>
        <v>0.71786492374727673</v>
      </c>
    </row>
    <row r="42" spans="1:14" x14ac:dyDescent="0.2">
      <c r="A42" t="s">
        <v>40</v>
      </c>
      <c r="B42" s="109">
        <v>1046</v>
      </c>
      <c r="C42" s="109">
        <v>139</v>
      </c>
      <c r="D42" s="109">
        <v>205</v>
      </c>
      <c r="E42" s="109"/>
      <c r="F42" s="109">
        <f t="shared" si="0"/>
        <v>702</v>
      </c>
      <c r="I42" t="s">
        <v>39</v>
      </c>
      <c r="J42" s="59">
        <f t="shared" si="1"/>
        <v>0.13200000000000001</v>
      </c>
      <c r="K42" s="59">
        <f t="shared" si="2"/>
        <v>0.25600000000000001</v>
      </c>
      <c r="L42" s="59">
        <f t="shared" si="3"/>
        <v>0.61199999999999999</v>
      </c>
    </row>
    <row r="43" spans="1:14" x14ac:dyDescent="0.2">
      <c r="A43" s="104" t="s">
        <v>41</v>
      </c>
      <c r="B43" s="109">
        <v>975</v>
      </c>
      <c r="C43" s="109">
        <v>162</v>
      </c>
      <c r="D43" s="109">
        <v>199</v>
      </c>
      <c r="E43" s="109"/>
      <c r="F43" s="109">
        <f t="shared" si="0"/>
        <v>614</v>
      </c>
      <c r="I43" t="s">
        <v>40</v>
      </c>
      <c r="J43" s="59">
        <f t="shared" si="1"/>
        <v>0.13288718929254303</v>
      </c>
      <c r="K43" s="59">
        <f t="shared" si="2"/>
        <v>0.1959847036328872</v>
      </c>
      <c r="L43" s="59">
        <f t="shared" si="3"/>
        <v>0.67112810707456982</v>
      </c>
    </row>
    <row r="44" spans="1:14" x14ac:dyDescent="0.2">
      <c r="A44" t="s">
        <v>58</v>
      </c>
      <c r="B44" s="109">
        <v>805</v>
      </c>
      <c r="C44" s="109">
        <v>113</v>
      </c>
      <c r="D44" s="109">
        <v>94</v>
      </c>
      <c r="F44" s="109">
        <f t="shared" si="0"/>
        <v>598</v>
      </c>
      <c r="I44" s="104" t="s">
        <v>41</v>
      </c>
      <c r="J44" s="59">
        <f t="shared" si="1"/>
        <v>0.16615384615384615</v>
      </c>
      <c r="K44" s="59">
        <f t="shared" si="2"/>
        <v>0.20410256410256411</v>
      </c>
      <c r="L44" s="59">
        <f t="shared" si="3"/>
        <v>0.62974358974358979</v>
      </c>
    </row>
    <row r="45" spans="1:14" x14ac:dyDescent="0.2">
      <c r="A45" t="s">
        <v>60</v>
      </c>
      <c r="B45" s="109">
        <v>727</v>
      </c>
      <c r="C45" s="109">
        <v>100</v>
      </c>
      <c r="D45" s="109">
        <v>51</v>
      </c>
      <c r="F45" s="109">
        <f t="shared" si="0"/>
        <v>576</v>
      </c>
      <c r="I45" t="s">
        <v>58</v>
      </c>
      <c r="J45" s="114">
        <f t="shared" ref="J45:J50" si="4">C44/B44</f>
        <v>0.14037267080745341</v>
      </c>
      <c r="K45" s="114">
        <f t="shared" ref="K45:K50" si="5">D44/B44</f>
        <v>0.11677018633540373</v>
      </c>
      <c r="L45" s="114">
        <f t="shared" ref="L45:L50" si="6">F44/B44</f>
        <v>0.74285714285714288</v>
      </c>
    </row>
    <row r="46" spans="1:14" x14ac:dyDescent="0.2">
      <c r="A46" t="s">
        <v>61</v>
      </c>
      <c r="B46" s="109">
        <v>948</v>
      </c>
      <c r="C46" s="109">
        <v>120</v>
      </c>
      <c r="D46" s="109">
        <v>85</v>
      </c>
      <c r="F46" s="109">
        <f t="shared" si="0"/>
        <v>743</v>
      </c>
      <c r="I46" t="s">
        <v>60</v>
      </c>
      <c r="J46" s="114">
        <f t="shared" si="4"/>
        <v>0.13755158184319119</v>
      </c>
      <c r="K46" s="114">
        <f t="shared" si="5"/>
        <v>7.0151306740027508E-2</v>
      </c>
      <c r="L46" s="114">
        <f t="shared" si="6"/>
        <v>0.79229711141678127</v>
      </c>
    </row>
    <row r="47" spans="1:14" x14ac:dyDescent="0.2">
      <c r="A47" t="s">
        <v>62</v>
      </c>
      <c r="B47" s="109">
        <v>891</v>
      </c>
      <c r="C47" s="109">
        <v>161</v>
      </c>
      <c r="D47" s="109">
        <v>100</v>
      </c>
      <c r="F47" s="109">
        <f t="shared" si="0"/>
        <v>630</v>
      </c>
      <c r="I47" t="s">
        <v>61</v>
      </c>
      <c r="J47" s="114">
        <f t="shared" si="4"/>
        <v>0.12658227848101267</v>
      </c>
      <c r="K47" s="114">
        <f t="shared" si="5"/>
        <v>8.9662447257383968E-2</v>
      </c>
      <c r="L47" s="114">
        <f t="shared" si="6"/>
        <v>0.78375527426160341</v>
      </c>
    </row>
    <row r="48" spans="1:14" x14ac:dyDescent="0.2">
      <c r="A48" t="s">
        <v>69</v>
      </c>
      <c r="B48" s="109">
        <v>894</v>
      </c>
      <c r="C48" s="109">
        <v>132</v>
      </c>
      <c r="D48" s="109">
        <v>121</v>
      </c>
      <c r="F48" s="109">
        <f t="shared" si="0"/>
        <v>641</v>
      </c>
      <c r="I48" t="s">
        <v>62</v>
      </c>
      <c r="J48" s="114">
        <f t="shared" si="4"/>
        <v>0.18069584736251404</v>
      </c>
      <c r="K48" s="114">
        <f t="shared" si="5"/>
        <v>0.1122334455667789</v>
      </c>
      <c r="L48" s="114">
        <f t="shared" si="6"/>
        <v>0.70707070707070707</v>
      </c>
    </row>
    <row r="49" spans="1:12" x14ac:dyDescent="0.2">
      <c r="A49" t="s">
        <v>70</v>
      </c>
      <c r="B49" s="109">
        <v>879</v>
      </c>
      <c r="C49" s="109">
        <v>76</v>
      </c>
      <c r="D49" s="109">
        <v>103</v>
      </c>
      <c r="F49" s="109">
        <f t="shared" si="0"/>
        <v>700</v>
      </c>
      <c r="I49" t="s">
        <v>69</v>
      </c>
      <c r="J49" s="140">
        <f t="shared" si="4"/>
        <v>0.1476510067114094</v>
      </c>
      <c r="K49" s="140">
        <f t="shared" si="5"/>
        <v>0.13534675615212527</v>
      </c>
      <c r="L49" s="140">
        <f t="shared" si="6"/>
        <v>0.71700223713646527</v>
      </c>
    </row>
    <row r="50" spans="1:12" x14ac:dyDescent="0.2">
      <c r="A50" t="s">
        <v>90</v>
      </c>
      <c r="B50" s="109">
        <v>1112</v>
      </c>
      <c r="C50" s="109">
        <v>123</v>
      </c>
      <c r="D50" s="109">
        <v>153</v>
      </c>
      <c r="F50" s="109">
        <f t="shared" si="0"/>
        <v>836</v>
      </c>
      <c r="I50" t="s">
        <v>70</v>
      </c>
      <c r="J50" s="140">
        <f t="shared" si="4"/>
        <v>8.6461888509670085E-2</v>
      </c>
      <c r="K50" s="140">
        <f t="shared" si="5"/>
        <v>0.11717861205915814</v>
      </c>
      <c r="L50" s="140">
        <f t="shared" si="6"/>
        <v>0.79635949943117179</v>
      </c>
    </row>
    <row r="51" spans="1:12" x14ac:dyDescent="0.2">
      <c r="A51" t="s">
        <v>107</v>
      </c>
      <c r="B51" s="109">
        <v>1307</v>
      </c>
      <c r="C51" s="109">
        <v>169</v>
      </c>
      <c r="D51" s="109">
        <v>77</v>
      </c>
      <c r="F51" s="109">
        <f t="shared" si="0"/>
        <v>1061</v>
      </c>
      <c r="I51" t="s">
        <v>90</v>
      </c>
      <c r="J51" s="140">
        <f>C50/B50</f>
        <v>0.11061151079136691</v>
      </c>
      <c r="K51" s="140">
        <f>D50/B50</f>
        <v>0.13758992805755396</v>
      </c>
      <c r="L51" s="140">
        <f>F50/B50</f>
        <v>0.75179856115107913</v>
      </c>
    </row>
    <row r="52" spans="1:12" x14ac:dyDescent="0.2">
      <c r="A52" t="s">
        <v>131</v>
      </c>
      <c r="B52" s="109">
        <v>1315</v>
      </c>
      <c r="C52" s="109">
        <v>213</v>
      </c>
      <c r="D52" s="109">
        <v>25</v>
      </c>
      <c r="F52" s="109">
        <f t="shared" si="0"/>
        <v>1077</v>
      </c>
      <c r="I52" t="s">
        <v>107</v>
      </c>
      <c r="J52" s="140">
        <f>C51/B51</f>
        <v>0.12930374904361133</v>
      </c>
      <c r="K52" s="140">
        <f>D51/B51</f>
        <v>5.891354246365723E-2</v>
      </c>
      <c r="L52" s="140">
        <f>F51/B51</f>
        <v>0.81178270849273149</v>
      </c>
    </row>
    <row r="53" spans="1:12" x14ac:dyDescent="0.2">
      <c r="I53" t="s">
        <v>131</v>
      </c>
      <c r="J53" s="140">
        <f>C52/B52</f>
        <v>0.16197718631178706</v>
      </c>
      <c r="K53" s="140">
        <f>D52/B52</f>
        <v>1.9011406844106463E-2</v>
      </c>
      <c r="L53" s="140">
        <f>F52/B52</f>
        <v>0.81901140684410645</v>
      </c>
    </row>
    <row r="54" spans="1:12" x14ac:dyDescent="0.2">
      <c r="A54" s="214" t="s">
        <v>135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</row>
  </sheetData>
  <mergeCells count="4">
    <mergeCell ref="A11:M11"/>
    <mergeCell ref="A54:L54"/>
    <mergeCell ref="A34:N34"/>
    <mergeCell ref="A32:N32"/>
  </mergeCells>
  <conditionalFormatting sqref="J38:L53">
    <cfRule type="top10" dxfId="4" priority="4" percent="1" rank="10"/>
    <cfRule type="iconSet" priority="5">
      <iconSet iconSet="3Arrows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{B9041717-3398-4240-84CD-157DED6D7B3C}</x14:id>
        </ext>
      </extLst>
    </cfRule>
  </conditionalFormatting>
  <conditionalFormatting sqref="J38:J5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K38:K5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L38:L5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041717-3398-4240-84CD-157DED6D7B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J38:L53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5574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1)_PIL_kopsavilkums</vt:lpstr>
      <vt:lpstr>2)_PIL_iepirkuma_veida</vt:lpstr>
      <vt:lpstr>3)_PIL_pieaugums</vt:lpstr>
      <vt:lpstr>4)PIL_pieaugums_iepirkuma_veida</vt:lpstr>
      <vt:lpstr>5)_PIL_dinamika_4_cet</vt:lpstr>
      <vt:lpstr>6)_PIL_ES_fondi_4_cet</vt:lpstr>
      <vt:lpstr>7)_PIL_vide_4_cet</vt:lpstr>
      <vt:lpstr>8)_PIL_cet_dinamika_virs_zem</vt:lpstr>
      <vt:lpstr>9)PIL_din_proced_vide_ES_skaits</vt:lpstr>
      <vt:lpstr>10)PIL_din_proced_vide_ES_summa</vt:lpstr>
      <vt:lpstr>11)_PIL_centralizetie_4-cet</vt:lpstr>
      <vt:lpstr>12)_PIL_din_9_p</vt:lpstr>
      <vt:lpstr>13)_PIL_din_9_vide_ES_skaits</vt:lpstr>
      <vt:lpstr>14)_PIL_din_9_vide_ES_summa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Renāte Kundziņa</cp:lastModifiedBy>
  <cp:revision>19</cp:revision>
  <cp:lastPrinted>2018-01-16T08:58:21Z</cp:lastPrinted>
  <dcterms:created xsi:type="dcterms:W3CDTF">2013-04-15T08:50:16Z</dcterms:created>
  <dcterms:modified xsi:type="dcterms:W3CDTF">2018-01-23T13:32:34Z</dcterms:modified>
</cp:coreProperties>
</file>